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Nikhil 30.06.24\Carpe Omnia\Sample\"/>
    </mc:Choice>
  </mc:AlternateContent>
  <xr:revisionPtr revIDLastSave="0" documentId="13_ncr:1_{A89D0F95-185F-43F2-852E-BC0614FF11B3}" xr6:coauthVersionLast="47" xr6:coauthVersionMax="47" xr10:uidLastSave="{00000000-0000-0000-0000-000000000000}"/>
  <bookViews>
    <workbookView xWindow="-108" yWindow="-108" windowWidth="23256" windowHeight="12456" tabRatio="774" firstSheet="1" activeTab="4" xr2:uid="{00000000-000D-0000-FFFF-FFFF00000000}"/>
  </bookViews>
  <sheets>
    <sheet name="Historical IS" sheetId="2" r:id="rId1"/>
    <sheet name="Historical BS" sheetId="1" r:id="rId2"/>
    <sheet name="Historical CF" sheetId="3" r:id="rId3"/>
    <sheet name="Historical WC Movment" sheetId="8" r:id="rId4"/>
    <sheet name="Assumption Sheet" sheetId="5" r:id="rId5"/>
    <sheet name="Proj IS" sheetId="6" r:id="rId6"/>
    <sheet name="Proj BS" sheetId="7" r:id="rId7"/>
    <sheet name="Proj NWC" sheetId="9" r:id="rId8"/>
    <sheet name="DCF" sheetId="10" r:id="rId9"/>
    <sheet name="Sensitivity" sheetId="11" r:id="rId10"/>
    <sheet name="Correlation" sheetId="12" r:id="rId11"/>
    <sheet name="Ratios" sheetId="4" r:id="rId12"/>
  </sheets>
  <externalReferences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3" i="11" l="1"/>
  <c r="E64" i="11"/>
  <c r="C52" i="7"/>
  <c r="D52" i="7"/>
  <c r="E52" i="7"/>
  <c r="F52" i="7"/>
  <c r="G52" i="7"/>
  <c r="H52" i="7"/>
  <c r="I52" i="7"/>
  <c r="J52" i="7"/>
  <c r="K52" i="7"/>
  <c r="L52" i="7"/>
  <c r="B52" i="7"/>
  <c r="C50" i="7"/>
  <c r="D50" i="7"/>
  <c r="E50" i="7"/>
  <c r="F50" i="7"/>
  <c r="G50" i="7"/>
  <c r="H50" i="7"/>
  <c r="I50" i="7"/>
  <c r="J50" i="7"/>
  <c r="K50" i="7"/>
  <c r="L50" i="7"/>
  <c r="B50" i="7"/>
  <c r="C48" i="7"/>
  <c r="D48" i="7"/>
  <c r="E48" i="7"/>
  <c r="F48" i="7"/>
  <c r="G48" i="7"/>
  <c r="H48" i="7"/>
  <c r="I48" i="7"/>
  <c r="J48" i="7"/>
  <c r="K48" i="7"/>
  <c r="L48" i="7"/>
  <c r="B48" i="7"/>
  <c r="D13" i="11" l="1"/>
  <c r="H13" i="11"/>
  <c r="G18" i="4"/>
  <c r="G17" i="4"/>
  <c r="G16" i="4"/>
  <c r="F16" i="4"/>
  <c r="E16" i="4"/>
  <c r="D16" i="4"/>
  <c r="C16" i="4"/>
  <c r="B16" i="4"/>
  <c r="G24" i="11"/>
  <c r="D18" i="11"/>
  <c r="D17" i="11"/>
  <c r="M7" i="11"/>
  <c r="L7" i="11"/>
  <c r="K7" i="11"/>
  <c r="J7" i="11"/>
  <c r="I7" i="11"/>
  <c r="H7" i="11"/>
  <c r="G7" i="11"/>
  <c r="F7" i="11"/>
  <c r="E7" i="11"/>
  <c r="D7" i="11"/>
  <c r="M6" i="11"/>
  <c r="L6" i="11"/>
  <c r="K6" i="11"/>
  <c r="J6" i="11"/>
  <c r="I6" i="11"/>
  <c r="H6" i="11"/>
  <c r="G6" i="11"/>
  <c r="F6" i="11"/>
  <c r="E6" i="11"/>
  <c r="D6" i="11"/>
  <c r="C6" i="11"/>
  <c r="M5" i="11"/>
  <c r="L5" i="11"/>
  <c r="K5" i="11"/>
  <c r="J5" i="11"/>
  <c r="I5" i="11"/>
  <c r="H5" i="11"/>
  <c r="G5" i="11"/>
  <c r="F5" i="11"/>
  <c r="E5" i="11"/>
  <c r="D5" i="11"/>
  <c r="C5" i="11"/>
  <c r="M4" i="11"/>
  <c r="M9" i="11" s="1"/>
  <c r="L4" i="11"/>
  <c r="K4" i="11"/>
  <c r="J4" i="11"/>
  <c r="I4" i="11"/>
  <c r="I9" i="11" s="1"/>
  <c r="H4" i="11"/>
  <c r="H9" i="11" s="1"/>
  <c r="G4" i="11"/>
  <c r="G9" i="11" s="1"/>
  <c r="F4" i="11"/>
  <c r="E4" i="11"/>
  <c r="D4" i="11"/>
  <c r="C4" i="11"/>
  <c r="C9" i="11" s="1"/>
  <c r="M3" i="11"/>
  <c r="L3" i="11"/>
  <c r="K3" i="11"/>
  <c r="J3" i="11"/>
  <c r="I3" i="11"/>
  <c r="H3" i="11"/>
  <c r="G3" i="11"/>
  <c r="F3" i="11"/>
  <c r="E3" i="11"/>
  <c r="D3" i="11"/>
  <c r="C3" i="11"/>
  <c r="M2" i="11"/>
  <c r="L2" i="11"/>
  <c r="K2" i="11"/>
  <c r="J2" i="11"/>
  <c r="I2" i="11"/>
  <c r="H2" i="11"/>
  <c r="G2" i="11"/>
  <c r="F2" i="11"/>
  <c r="E2" i="11"/>
  <c r="D2" i="11"/>
  <c r="D30" i="5"/>
  <c r="B6" i="10"/>
  <c r="C6" i="10"/>
  <c r="D6" i="10"/>
  <c r="E6" i="10"/>
  <c r="F6" i="10"/>
  <c r="G6" i="10"/>
  <c r="H6" i="10"/>
  <c r="I6" i="10"/>
  <c r="J6" i="10"/>
  <c r="K6" i="10"/>
  <c r="L6" i="10"/>
  <c r="J6" i="8"/>
  <c r="F29" i="8"/>
  <c r="F24" i="10"/>
  <c r="B5" i="10"/>
  <c r="D38" i="2"/>
  <c r="E38" i="2"/>
  <c r="F38" i="2"/>
  <c r="C38" i="2"/>
  <c r="C29" i="8"/>
  <c r="D29" i="8"/>
  <c r="B28" i="8"/>
  <c r="C28" i="8"/>
  <c r="D28" i="8"/>
  <c r="E28" i="8"/>
  <c r="B25" i="8"/>
  <c r="C25" i="8"/>
  <c r="D25" i="8"/>
  <c r="E25" i="8"/>
  <c r="F28" i="8"/>
  <c r="F25" i="8"/>
  <c r="B44" i="7"/>
  <c r="B6" i="8"/>
  <c r="F16" i="2"/>
  <c r="B16" i="6" s="1"/>
  <c r="D9" i="11" l="1"/>
  <c r="J9" i="11"/>
  <c r="I13" i="11"/>
  <c r="I14" i="11" s="1"/>
  <c r="E9" i="11"/>
  <c r="K9" i="11"/>
  <c r="F9" i="11"/>
  <c r="L9" i="11"/>
  <c r="M12" i="11"/>
  <c r="J13" i="11"/>
  <c r="J14" i="11" s="1"/>
  <c r="E13" i="11"/>
  <c r="E14" i="11" s="1"/>
  <c r="K13" i="11"/>
  <c r="K14" i="11" s="1"/>
  <c r="F13" i="11"/>
  <c r="F14" i="11" s="1"/>
  <c r="L13" i="11"/>
  <c r="L14" i="11" s="1"/>
  <c r="M13" i="11"/>
  <c r="G13" i="11"/>
  <c r="G14" i="11" s="1"/>
  <c r="H14" i="11"/>
  <c r="D14" i="11"/>
  <c r="E29" i="8"/>
  <c r="I7" i="2"/>
  <c r="B7" i="2"/>
  <c r="M14" i="11" l="1"/>
  <c r="D15" i="11" s="1"/>
  <c r="C13" i="10"/>
  <c r="D27" i="5"/>
  <c r="F51" i="5"/>
  <c r="F52" i="5" s="1"/>
  <c r="F47" i="5"/>
  <c r="D21" i="11" l="1"/>
  <c r="D24" i="11" s="1"/>
  <c r="D25" i="11" s="1"/>
  <c r="C43" i="11"/>
  <c r="F50" i="5"/>
  <c r="D28" i="11" l="1"/>
  <c r="D29" i="11"/>
  <c r="D27" i="11"/>
  <c r="C34" i="11"/>
  <c r="B45" i="6"/>
  <c r="B41" i="6"/>
  <c r="D4" i="5"/>
  <c r="G2" i="5"/>
  <c r="G4" i="5"/>
  <c r="I1" i="2"/>
  <c r="C18" i="10"/>
  <c r="C17" i="10"/>
  <c r="D19" i="5" s="1"/>
  <c r="D21" i="5"/>
  <c r="C2" i="10"/>
  <c r="L2" i="10"/>
  <c r="K2" i="10"/>
  <c r="J2" i="10"/>
  <c r="I2" i="10"/>
  <c r="H2" i="10"/>
  <c r="G2" i="10"/>
  <c r="F2" i="10"/>
  <c r="E2" i="10"/>
  <c r="D2" i="10"/>
  <c r="E54" i="6"/>
  <c r="F50" i="6"/>
  <c r="F51" i="6" s="1"/>
  <c r="E50" i="6"/>
  <c r="E51" i="6" s="1"/>
  <c r="D50" i="6"/>
  <c r="D51" i="6" s="1"/>
  <c r="C50" i="6"/>
  <c r="C51" i="6" s="1"/>
  <c r="B48" i="6"/>
  <c r="B44" i="6"/>
  <c r="B54" i="6" s="1"/>
  <c r="L44" i="6"/>
  <c r="L54" i="6" s="1"/>
  <c r="K44" i="6"/>
  <c r="K54" i="6" s="1"/>
  <c r="J44" i="6"/>
  <c r="J54" i="6" s="1"/>
  <c r="I44" i="6"/>
  <c r="I54" i="6" s="1"/>
  <c r="H44" i="6"/>
  <c r="H54" i="6" s="1"/>
  <c r="G44" i="6"/>
  <c r="G54" i="6" s="1"/>
  <c r="F44" i="6"/>
  <c r="F54" i="6" s="1"/>
  <c r="E44" i="6"/>
  <c r="D44" i="6"/>
  <c r="D54" i="6" s="1"/>
  <c r="C44" i="6"/>
  <c r="C54" i="6" s="1"/>
  <c r="F41" i="6"/>
  <c r="E41" i="6"/>
  <c r="D41" i="6"/>
  <c r="C41" i="6"/>
  <c r="F38" i="6"/>
  <c r="F48" i="6" s="1"/>
  <c r="E38" i="6"/>
  <c r="E48" i="6" s="1"/>
  <c r="D38" i="6"/>
  <c r="D48" i="6" s="1"/>
  <c r="C38" i="6"/>
  <c r="C48" i="6" s="1"/>
  <c r="B38" i="6"/>
  <c r="B14" i="9"/>
  <c r="B15" i="9" s="1"/>
  <c r="B9" i="9"/>
  <c r="B10" i="9" s="1"/>
  <c r="B7" i="9"/>
  <c r="B8" i="9" s="1"/>
  <c r="G17" i="9"/>
  <c r="F17" i="9"/>
  <c r="E17" i="9"/>
  <c r="D17" i="9"/>
  <c r="C17" i="9"/>
  <c r="B17" i="9"/>
  <c r="D35" i="7"/>
  <c r="E35" i="7" s="1"/>
  <c r="F35" i="7" s="1"/>
  <c r="G35" i="7" s="1"/>
  <c r="H35" i="7" s="1"/>
  <c r="I35" i="7" s="1"/>
  <c r="J35" i="7" s="1"/>
  <c r="K35" i="7" s="1"/>
  <c r="L35" i="7" s="1"/>
  <c r="B5" i="7"/>
  <c r="B5" i="9" s="1"/>
  <c r="B6" i="7"/>
  <c r="B7" i="7"/>
  <c r="B8" i="7"/>
  <c r="B10" i="7"/>
  <c r="B11" i="7"/>
  <c r="B18" i="7" s="1"/>
  <c r="B12" i="7"/>
  <c r="B13" i="7"/>
  <c r="B14" i="7"/>
  <c r="B15" i="7"/>
  <c r="B16" i="7"/>
  <c r="B17" i="7"/>
  <c r="B20" i="7"/>
  <c r="B21" i="7"/>
  <c r="B22" i="7"/>
  <c r="B26" i="7" s="1"/>
  <c r="B23" i="7"/>
  <c r="B24" i="7"/>
  <c r="B25" i="7"/>
  <c r="B27" i="7"/>
  <c r="B33" i="7" s="1"/>
  <c r="B34" i="7" s="1"/>
  <c r="B28" i="7"/>
  <c r="B29" i="7"/>
  <c r="B30" i="7"/>
  <c r="B31" i="7"/>
  <c r="B32" i="7"/>
  <c r="B35" i="7"/>
  <c r="B40" i="7" s="1"/>
  <c r="B36" i="7"/>
  <c r="B37" i="7"/>
  <c r="B38" i="7"/>
  <c r="B39" i="7"/>
  <c r="B4" i="7"/>
  <c r="G15" i="8"/>
  <c r="G17" i="8"/>
  <c r="F17" i="8"/>
  <c r="E17" i="8"/>
  <c r="D17" i="8"/>
  <c r="C17" i="8"/>
  <c r="E15" i="8"/>
  <c r="C15" i="8"/>
  <c r="G14" i="8"/>
  <c r="G18" i="8" s="1"/>
  <c r="F14" i="8"/>
  <c r="F18" i="8" s="1"/>
  <c r="E14" i="8"/>
  <c r="E18" i="8" s="1"/>
  <c r="D14" i="8"/>
  <c r="D15" i="8" s="1"/>
  <c r="C14" i="8"/>
  <c r="C18" i="8" s="1"/>
  <c r="G9" i="8"/>
  <c r="G10" i="8" s="1"/>
  <c r="F9" i="8"/>
  <c r="F10" i="8" s="1"/>
  <c r="E9" i="8"/>
  <c r="E10" i="8" s="1"/>
  <c r="D9" i="8"/>
  <c r="D10" i="8" s="1"/>
  <c r="C9" i="8"/>
  <c r="C10" i="8" s="1"/>
  <c r="F8" i="8"/>
  <c r="D8" i="8"/>
  <c r="G7" i="8"/>
  <c r="G8" i="8" s="1"/>
  <c r="F7" i="8"/>
  <c r="E7" i="8"/>
  <c r="E8" i="8" s="1"/>
  <c r="D7" i="8"/>
  <c r="C7" i="8"/>
  <c r="C8" i="8" s="1"/>
  <c r="G5" i="8"/>
  <c r="G11" i="8" s="1"/>
  <c r="F5" i="8"/>
  <c r="F11" i="8" s="1"/>
  <c r="E5" i="8"/>
  <c r="E11" i="8" s="1"/>
  <c r="D5" i="8"/>
  <c r="D11" i="8" s="1"/>
  <c r="C5" i="8"/>
  <c r="C6" i="8" s="1"/>
  <c r="B17" i="8"/>
  <c r="B14" i="8"/>
  <c r="B15" i="8" s="1"/>
  <c r="B9" i="8"/>
  <c r="B10" i="8" s="1"/>
  <c r="B7" i="8"/>
  <c r="B8" i="8" s="1"/>
  <c r="I8" i="8" s="1"/>
  <c r="D13" i="5" s="1"/>
  <c r="B5" i="8"/>
  <c r="G2" i="8"/>
  <c r="F2" i="8"/>
  <c r="E2" i="8"/>
  <c r="D2" i="8"/>
  <c r="C2" i="8"/>
  <c r="B2" i="8"/>
  <c r="G7" i="2"/>
  <c r="B6" i="6"/>
  <c r="B9" i="6"/>
  <c r="B10" i="6"/>
  <c r="B11" i="6"/>
  <c r="B12" i="6"/>
  <c r="B13" i="6"/>
  <c r="B17" i="6"/>
  <c r="B18" i="6"/>
  <c r="B22" i="6"/>
  <c r="B26" i="6"/>
  <c r="B27" i="6"/>
  <c r="B28" i="6"/>
  <c r="B29" i="6"/>
  <c r="B30" i="6"/>
  <c r="B31" i="6"/>
  <c r="B32" i="6"/>
  <c r="B4" i="6"/>
  <c r="F33" i="6"/>
  <c r="E33" i="6"/>
  <c r="D33" i="6"/>
  <c r="C33" i="6"/>
  <c r="B6" i="9" l="1"/>
  <c r="B11" i="9"/>
  <c r="G51" i="6"/>
  <c r="I10" i="8"/>
  <c r="C4" i="6"/>
  <c r="B3" i="10"/>
  <c r="F15" i="8"/>
  <c r="I15" i="8" s="1"/>
  <c r="D14" i="5" s="1"/>
  <c r="G41" i="6"/>
  <c r="D6" i="8"/>
  <c r="E6" i="8"/>
  <c r="D12" i="5" s="1"/>
  <c r="B9" i="7"/>
  <c r="B18" i="9"/>
  <c r="B20" i="9"/>
  <c r="F6" i="8"/>
  <c r="D18" i="8"/>
  <c r="G6" i="8"/>
  <c r="C11" i="8"/>
  <c r="C20" i="8"/>
  <c r="E20" i="8"/>
  <c r="B11" i="8"/>
  <c r="B18" i="8"/>
  <c r="G20" i="8"/>
  <c r="C5" i="7" l="1"/>
  <c r="C5" i="6"/>
  <c r="D4" i="6"/>
  <c r="C3" i="10"/>
  <c r="C55" i="6"/>
  <c r="B55" i="6"/>
  <c r="C45" i="6"/>
  <c r="F20" i="8"/>
  <c r="B20" i="8"/>
  <c r="D20" i="8"/>
  <c r="C5" i="9" l="1"/>
  <c r="C6" i="9" s="1"/>
  <c r="D3" i="10"/>
  <c r="E4" i="6"/>
  <c r="D5" i="6"/>
  <c r="D45" i="6"/>
  <c r="C7" i="10"/>
  <c r="D5" i="7"/>
  <c r="D55" i="6"/>
  <c r="D5" i="9" l="1"/>
  <c r="D6" i="9" s="1"/>
  <c r="F4" i="6"/>
  <c r="E45" i="6"/>
  <c r="E3" i="10"/>
  <c r="E5" i="6"/>
  <c r="E5" i="7"/>
  <c r="E55" i="6"/>
  <c r="D7" i="10"/>
  <c r="E5" i="9" l="1"/>
  <c r="G4" i="6"/>
  <c r="F3" i="10"/>
  <c r="F45" i="6"/>
  <c r="F55" i="6"/>
  <c r="F5" i="6"/>
  <c r="F5" i="7"/>
  <c r="E7" i="10"/>
  <c r="E6" i="9"/>
  <c r="F5" i="9" l="1"/>
  <c r="F6" i="9" s="1"/>
  <c r="F7" i="10"/>
  <c r="H4" i="6"/>
  <c r="G45" i="6"/>
  <c r="G55" i="6"/>
  <c r="G3" i="10"/>
  <c r="G5" i="7"/>
  <c r="G5" i="6"/>
  <c r="G5" i="9" l="1"/>
  <c r="G6" i="9" s="1"/>
  <c r="G7" i="10"/>
  <c r="I4" i="6"/>
  <c r="H45" i="6"/>
  <c r="H3" i="10"/>
  <c r="H5" i="6"/>
  <c r="H5" i="7"/>
  <c r="H55" i="6"/>
  <c r="H5" i="9" l="1"/>
  <c r="J4" i="6"/>
  <c r="I3" i="10"/>
  <c r="I5" i="6"/>
  <c r="I55" i="6"/>
  <c r="I45" i="6"/>
  <c r="I5" i="7"/>
  <c r="H7" i="10"/>
  <c r="H6" i="9"/>
  <c r="I5" i="9" l="1"/>
  <c r="I6" i="9" s="1"/>
  <c r="I7" i="10"/>
  <c r="K4" i="6"/>
  <c r="J3" i="10"/>
  <c r="J5" i="6"/>
  <c r="J45" i="6"/>
  <c r="J5" i="7"/>
  <c r="J55" i="6"/>
  <c r="J5" i="9" l="1"/>
  <c r="J6" i="9" s="1"/>
  <c r="L4" i="6"/>
  <c r="K55" i="6"/>
  <c r="K45" i="6"/>
  <c r="K5" i="7"/>
  <c r="K3" i="10"/>
  <c r="K5" i="6"/>
  <c r="J7" i="10"/>
  <c r="K5" i="9" l="1"/>
  <c r="K6" i="9" s="1"/>
  <c r="K7" i="10"/>
  <c r="L55" i="6"/>
  <c r="L45" i="6"/>
  <c r="L5" i="7"/>
  <c r="L3" i="10"/>
  <c r="L5" i="6"/>
  <c r="L5" i="9" l="1"/>
  <c r="L6" i="9"/>
  <c r="L7" i="10"/>
  <c r="G40" i="1"/>
  <c r="G32" i="1"/>
  <c r="G28" i="1"/>
  <c r="G25" i="1"/>
  <c r="G16" i="1"/>
  <c r="G18" i="1" s="1"/>
  <c r="G9" i="1"/>
  <c r="G14" i="2"/>
  <c r="G15" i="2" s="1"/>
  <c r="F14" i="2"/>
  <c r="E14" i="2"/>
  <c r="E15" i="2" s="1"/>
  <c r="D14" i="2"/>
  <c r="D15" i="2" s="1"/>
  <c r="C14" i="2"/>
  <c r="C15" i="2" s="1"/>
  <c r="B14" i="2"/>
  <c r="B15" i="2" s="1"/>
  <c r="F7" i="2"/>
  <c r="E7" i="2"/>
  <c r="D7" i="2"/>
  <c r="C7" i="2"/>
  <c r="D7" i="5"/>
  <c r="I4" i="2"/>
  <c r="F5" i="2"/>
  <c r="B5" i="6" s="1"/>
  <c r="E5" i="2"/>
  <c r="D5" i="2"/>
  <c r="C5" i="2"/>
  <c r="I5" i="2" s="1"/>
  <c r="G16" i="2"/>
  <c r="G19" i="2"/>
  <c r="G20" i="2" s="1"/>
  <c r="I19" i="2" s="1"/>
  <c r="D9" i="5" s="1"/>
  <c r="C23" i="4"/>
  <c r="D23" i="4"/>
  <c r="E23" i="4"/>
  <c r="F23" i="4"/>
  <c r="B23" i="4"/>
  <c r="D20" i="4"/>
  <c r="E20" i="4"/>
  <c r="F20" i="4"/>
  <c r="C20" i="4"/>
  <c r="C48" i="3"/>
  <c r="D48" i="3"/>
  <c r="E48" i="3"/>
  <c r="F48" i="3"/>
  <c r="B48" i="3"/>
  <c r="C35" i="3"/>
  <c r="D35" i="3"/>
  <c r="E35" i="3"/>
  <c r="F35" i="3"/>
  <c r="B35" i="3"/>
  <c r="D20" i="3"/>
  <c r="D26" i="3" s="1"/>
  <c r="E20" i="3"/>
  <c r="E26" i="3" s="1"/>
  <c r="F20" i="3"/>
  <c r="F26" i="3" s="1"/>
  <c r="C20" i="3"/>
  <c r="C26" i="3" s="1"/>
  <c r="B20" i="3"/>
  <c r="B26" i="3" s="1"/>
  <c r="C33" i="2"/>
  <c r="D33" i="2"/>
  <c r="E33" i="2"/>
  <c r="F33" i="2"/>
  <c r="B33" i="6" s="1"/>
  <c r="B33" i="2"/>
  <c r="C19" i="2"/>
  <c r="C20" i="2" s="1"/>
  <c r="D19" i="2"/>
  <c r="D20" i="2" s="1"/>
  <c r="E19" i="2"/>
  <c r="E20" i="2" s="1"/>
  <c r="F19" i="2"/>
  <c r="C8" i="2"/>
  <c r="C16" i="2" s="1"/>
  <c r="D8" i="2"/>
  <c r="D16" i="2" s="1"/>
  <c r="D10" i="4" s="1"/>
  <c r="E8" i="2"/>
  <c r="E16" i="2" s="1"/>
  <c r="E10" i="4" s="1"/>
  <c r="F8" i="2"/>
  <c r="B19" i="2"/>
  <c r="B20" i="2" s="1"/>
  <c r="B8" i="2"/>
  <c r="B9" i="4" s="1"/>
  <c r="F18" i="1"/>
  <c r="E18" i="1"/>
  <c r="C18" i="1"/>
  <c r="B18" i="1"/>
  <c r="D18" i="1"/>
  <c r="C40" i="1"/>
  <c r="D40" i="1"/>
  <c r="E40" i="1"/>
  <c r="F40" i="1"/>
  <c r="D33" i="1"/>
  <c r="E33" i="1"/>
  <c r="F33" i="1"/>
  <c r="D26" i="1"/>
  <c r="E26" i="1"/>
  <c r="F26" i="1"/>
  <c r="D9" i="1"/>
  <c r="E9" i="1"/>
  <c r="F9" i="1"/>
  <c r="C9" i="1"/>
  <c r="C26" i="1"/>
  <c r="C33" i="1"/>
  <c r="B40" i="1"/>
  <c r="B33" i="1"/>
  <c r="B26" i="1"/>
  <c r="B9" i="1"/>
  <c r="F20" i="2" l="1"/>
  <c r="B20" i="6" s="1"/>
  <c r="B19" i="6"/>
  <c r="F15" i="2"/>
  <c r="B14" i="6"/>
  <c r="C6" i="6"/>
  <c r="D6" i="6"/>
  <c r="E6" i="6"/>
  <c r="F6" i="6"/>
  <c r="G6" i="6"/>
  <c r="H6" i="6"/>
  <c r="I6" i="6"/>
  <c r="J6" i="6"/>
  <c r="K6" i="6"/>
  <c r="L6" i="6"/>
  <c r="B8" i="6"/>
  <c r="I6" i="2"/>
  <c r="B7" i="6"/>
  <c r="C19" i="6"/>
  <c r="D19" i="6"/>
  <c r="E19" i="6"/>
  <c r="F19" i="6"/>
  <c r="G19" i="6"/>
  <c r="H19" i="6"/>
  <c r="I19" i="6"/>
  <c r="J19" i="6"/>
  <c r="K19" i="6"/>
  <c r="L19" i="6"/>
  <c r="F17" i="4"/>
  <c r="B18" i="4"/>
  <c r="G19" i="1"/>
  <c r="P18" i="1" s="1"/>
  <c r="M9" i="1"/>
  <c r="G33" i="1"/>
  <c r="I20" i="2"/>
  <c r="I15" i="2"/>
  <c r="D8" i="5" s="1"/>
  <c r="G21" i="2"/>
  <c r="C17" i="4"/>
  <c r="F18" i="4"/>
  <c r="E19" i="1"/>
  <c r="N40" i="1" s="1"/>
  <c r="D18" i="4"/>
  <c r="C18" i="4"/>
  <c r="B16" i="2"/>
  <c r="B21" i="2" s="1"/>
  <c r="B24" i="2" s="1"/>
  <c r="E9" i="4"/>
  <c r="C21" i="2"/>
  <c r="C24" i="2" s="1"/>
  <c r="D17" i="4"/>
  <c r="D9" i="4"/>
  <c r="E18" i="4"/>
  <c r="B17" i="4"/>
  <c r="D34" i="1"/>
  <c r="C10" i="4"/>
  <c r="C9" i="4"/>
  <c r="F19" i="1"/>
  <c r="D19" i="1"/>
  <c r="E17" i="4"/>
  <c r="F9" i="4"/>
  <c r="D49" i="3"/>
  <c r="D52" i="3" s="1"/>
  <c r="C49" i="3"/>
  <c r="C52" i="3" s="1"/>
  <c r="B49" i="3"/>
  <c r="B52" i="3" s="1"/>
  <c r="E49" i="3"/>
  <c r="E52" i="3" s="1"/>
  <c r="F49" i="3"/>
  <c r="F52" i="3" s="1"/>
  <c r="E21" i="2"/>
  <c r="D21" i="2"/>
  <c r="D24" i="2" s="1"/>
  <c r="B34" i="1"/>
  <c r="E34" i="1"/>
  <c r="F34" i="1"/>
  <c r="B19" i="1"/>
  <c r="K26" i="1" s="1"/>
  <c r="C19" i="1"/>
  <c r="L18" i="1" s="1"/>
  <c r="C34" i="1"/>
  <c r="C14" i="6" l="1"/>
  <c r="D14" i="6"/>
  <c r="E14" i="6"/>
  <c r="F14" i="6"/>
  <c r="G14" i="6"/>
  <c r="H14" i="6"/>
  <c r="I14" i="6"/>
  <c r="J14" i="6"/>
  <c r="K14" i="6"/>
  <c r="L14" i="6"/>
  <c r="I6" i="7"/>
  <c r="I20" i="7"/>
  <c r="I14" i="9" s="1"/>
  <c r="I8" i="6"/>
  <c r="D6" i="7"/>
  <c r="D20" i="7"/>
  <c r="D14" i="9" s="1"/>
  <c r="D8" i="6"/>
  <c r="D16" i="6" s="1"/>
  <c r="F10" i="4"/>
  <c r="I14" i="2"/>
  <c r="B15" i="6"/>
  <c r="F21" i="2"/>
  <c r="B21" i="6" s="1"/>
  <c r="L6" i="7"/>
  <c r="L20" i="7"/>
  <c r="L14" i="9" s="1"/>
  <c r="L8" i="6"/>
  <c r="J20" i="7"/>
  <c r="J14" i="9" s="1"/>
  <c r="J6" i="7"/>
  <c r="J8" i="6"/>
  <c r="H20" i="7"/>
  <c r="H14" i="9" s="1"/>
  <c r="H6" i="7"/>
  <c r="H8" i="6"/>
  <c r="G6" i="7"/>
  <c r="G20" i="7"/>
  <c r="G14" i="9" s="1"/>
  <c r="G8" i="6"/>
  <c r="G16" i="6" s="1"/>
  <c r="F20" i="7"/>
  <c r="F14" i="9" s="1"/>
  <c r="F6" i="7"/>
  <c r="F8" i="6"/>
  <c r="E20" i="7"/>
  <c r="E14" i="9" s="1"/>
  <c r="E6" i="7"/>
  <c r="E8" i="6"/>
  <c r="C6" i="7"/>
  <c r="C20" i="7"/>
  <c r="C14" i="9" s="1"/>
  <c r="C8" i="6"/>
  <c r="C16" i="6" s="1"/>
  <c r="C4" i="10" s="1"/>
  <c r="O18" i="1"/>
  <c r="B19" i="7"/>
  <c r="C19" i="7" s="1"/>
  <c r="K20" i="7"/>
  <c r="K14" i="9" s="1"/>
  <c r="K6" i="7"/>
  <c r="K8" i="6"/>
  <c r="K16" i="6" s="1"/>
  <c r="K9" i="1"/>
  <c r="K34" i="1"/>
  <c r="N26" i="1"/>
  <c r="K18" i="1"/>
  <c r="K40" i="1"/>
  <c r="N9" i="1"/>
  <c r="P9" i="1"/>
  <c r="P40" i="1"/>
  <c r="P16" i="1"/>
  <c r="K33" i="1"/>
  <c r="O33" i="1"/>
  <c r="N18" i="1"/>
  <c r="O9" i="1"/>
  <c r="P28" i="1"/>
  <c r="F41" i="1"/>
  <c r="O34" i="1"/>
  <c r="M37" i="1"/>
  <c r="M35" i="1"/>
  <c r="M31" i="1"/>
  <c r="M28" i="1"/>
  <c r="M23" i="1"/>
  <c r="M20" i="1"/>
  <c r="M19" i="1"/>
  <c r="M17" i="1"/>
  <c r="M15" i="1"/>
  <c r="M11" i="1"/>
  <c r="M5" i="1"/>
  <c r="M36" i="1"/>
  <c r="M32" i="1"/>
  <c r="M30" i="1"/>
  <c r="M29" i="1"/>
  <c r="M27" i="1"/>
  <c r="M25" i="1"/>
  <c r="M24" i="1"/>
  <c r="M16" i="1"/>
  <c r="M13" i="1"/>
  <c r="M10" i="1"/>
  <c r="M7" i="1"/>
  <c r="M4" i="1"/>
  <c r="M39" i="1"/>
  <c r="M21" i="1"/>
  <c r="M12" i="1"/>
  <c r="M6" i="1"/>
  <c r="M38" i="1"/>
  <c r="M22" i="1"/>
  <c r="M14" i="1"/>
  <c r="M8" i="1"/>
  <c r="C41" i="1"/>
  <c r="L41" i="1" s="1"/>
  <c r="L34" i="1"/>
  <c r="M26" i="1"/>
  <c r="O26" i="1"/>
  <c r="P39" i="1"/>
  <c r="P38" i="1"/>
  <c r="P37" i="1"/>
  <c r="P36" i="1"/>
  <c r="P35" i="1"/>
  <c r="P31" i="1"/>
  <c r="P30" i="1"/>
  <c r="P29" i="1"/>
  <c r="P27" i="1"/>
  <c r="P26" i="1"/>
  <c r="P24" i="1"/>
  <c r="P23" i="1"/>
  <c r="P22" i="1"/>
  <c r="P21" i="1"/>
  <c r="P20" i="1"/>
  <c r="P19" i="1"/>
  <c r="P17" i="1"/>
  <c r="P15" i="1"/>
  <c r="P14" i="1"/>
  <c r="P13" i="1"/>
  <c r="P12" i="1"/>
  <c r="P11" i="1"/>
  <c r="I11" i="1" s="1"/>
  <c r="P10" i="1"/>
  <c r="P8" i="1"/>
  <c r="P7" i="1"/>
  <c r="P6" i="1"/>
  <c r="P5" i="1"/>
  <c r="P4" i="1"/>
  <c r="P25" i="1"/>
  <c r="E41" i="1"/>
  <c r="N41" i="1" s="1"/>
  <c r="N34" i="1"/>
  <c r="M18" i="1"/>
  <c r="M40" i="1"/>
  <c r="O39" i="1"/>
  <c r="O38" i="1"/>
  <c r="O37" i="1"/>
  <c r="O36" i="1"/>
  <c r="O35" i="1"/>
  <c r="O32" i="1"/>
  <c r="O31" i="1"/>
  <c r="O30" i="1"/>
  <c r="O29" i="1"/>
  <c r="O28" i="1"/>
  <c r="O27" i="1"/>
  <c r="O25" i="1"/>
  <c r="O24" i="1"/>
  <c r="O23" i="1"/>
  <c r="O22" i="1"/>
  <c r="O21" i="1"/>
  <c r="O20" i="1"/>
  <c r="O19" i="1"/>
  <c r="O17" i="1"/>
  <c r="O16" i="1"/>
  <c r="O15" i="1"/>
  <c r="O14" i="1"/>
  <c r="O13" i="1"/>
  <c r="O12" i="1"/>
  <c r="O11" i="1"/>
  <c r="O10" i="1"/>
  <c r="O8" i="1"/>
  <c r="O7" i="1"/>
  <c r="O6" i="1"/>
  <c r="O5" i="1"/>
  <c r="O4" i="1"/>
  <c r="O40" i="1"/>
  <c r="L38" i="1"/>
  <c r="L35" i="1"/>
  <c r="L30" i="1"/>
  <c r="L28" i="1"/>
  <c r="L24" i="1"/>
  <c r="L19" i="1"/>
  <c r="L14" i="1"/>
  <c r="L5" i="1"/>
  <c r="L39" i="1"/>
  <c r="L31" i="1"/>
  <c r="L29" i="1"/>
  <c r="L25" i="1"/>
  <c r="L23" i="1"/>
  <c r="L20" i="1"/>
  <c r="L15" i="1"/>
  <c r="L11" i="1"/>
  <c r="L7" i="1"/>
  <c r="L36" i="1"/>
  <c r="L32" i="1"/>
  <c r="L27" i="1"/>
  <c r="L22" i="1"/>
  <c r="L17" i="1"/>
  <c r="L13" i="1"/>
  <c r="L8" i="1"/>
  <c r="L4" i="1"/>
  <c r="L37" i="1"/>
  <c r="L21" i="1"/>
  <c r="L16" i="1"/>
  <c r="L12" i="1"/>
  <c r="L10" i="1"/>
  <c r="L6" i="1"/>
  <c r="K39" i="1"/>
  <c r="K38" i="1"/>
  <c r="K37" i="1"/>
  <c r="K36" i="1"/>
  <c r="I36" i="1" s="1"/>
  <c r="K35" i="1"/>
  <c r="K32" i="1"/>
  <c r="K31" i="1"/>
  <c r="I31" i="1" s="1"/>
  <c r="K30" i="1"/>
  <c r="I30" i="1" s="1"/>
  <c r="K29" i="1"/>
  <c r="I29" i="1" s="1"/>
  <c r="K28" i="1"/>
  <c r="K27" i="1"/>
  <c r="K25" i="1"/>
  <c r="K24" i="1"/>
  <c r="K23" i="1"/>
  <c r="K22" i="1"/>
  <c r="K21" i="1"/>
  <c r="K20" i="1"/>
  <c r="K19" i="1"/>
  <c r="K17" i="1"/>
  <c r="K16" i="1"/>
  <c r="K15" i="1"/>
  <c r="I15" i="1" s="1"/>
  <c r="K14" i="1"/>
  <c r="K13" i="1"/>
  <c r="K12" i="1"/>
  <c r="K11" i="1"/>
  <c r="K10" i="1"/>
  <c r="I10" i="1" s="1"/>
  <c r="K8" i="1"/>
  <c r="K7" i="1"/>
  <c r="I7" i="1" s="1"/>
  <c r="K6" i="1"/>
  <c r="I6" i="1" s="1"/>
  <c r="K5" i="1"/>
  <c r="I5" i="1" s="1"/>
  <c r="K4" i="1"/>
  <c r="I4" i="1" s="1"/>
  <c r="E31" i="4"/>
  <c r="N39" i="1"/>
  <c r="N38" i="1"/>
  <c r="N37" i="1"/>
  <c r="N36" i="1"/>
  <c r="N35" i="1"/>
  <c r="N32" i="1"/>
  <c r="N31" i="1"/>
  <c r="N30" i="1"/>
  <c r="N29" i="1"/>
  <c r="N28" i="1"/>
  <c r="N27" i="1"/>
  <c r="N25" i="1"/>
  <c r="N24" i="1"/>
  <c r="N23" i="1"/>
  <c r="N22" i="1"/>
  <c r="N21" i="1"/>
  <c r="N20" i="1"/>
  <c r="N19" i="1"/>
  <c r="N17" i="1"/>
  <c r="N16" i="1"/>
  <c r="N15" i="1"/>
  <c r="N14" i="1"/>
  <c r="N13" i="1"/>
  <c r="N12" i="1"/>
  <c r="N11" i="1"/>
  <c r="N10" i="1"/>
  <c r="N8" i="1"/>
  <c r="N7" i="1"/>
  <c r="N6" i="1"/>
  <c r="N5" i="1"/>
  <c r="N4" i="1"/>
  <c r="L26" i="1"/>
  <c r="I26" i="1" s="1"/>
  <c r="B41" i="1"/>
  <c r="K41" i="1" s="1"/>
  <c r="D41" i="1"/>
  <c r="M41" i="1" s="1"/>
  <c r="M34" i="1"/>
  <c r="E21" i="4"/>
  <c r="P33" i="1"/>
  <c r="G34" i="1"/>
  <c r="M33" i="1"/>
  <c r="L40" i="1"/>
  <c r="P32" i="1"/>
  <c r="I32" i="1" s="1"/>
  <c r="L33" i="1"/>
  <c r="N33" i="1"/>
  <c r="L9" i="1"/>
  <c r="G24" i="2"/>
  <c r="G25" i="2" s="1"/>
  <c r="G23" i="2"/>
  <c r="E24" i="2"/>
  <c r="E25" i="2" s="1"/>
  <c r="E23" i="2"/>
  <c r="B10" i="4"/>
  <c r="B34" i="2"/>
  <c r="B12" i="4"/>
  <c r="F21" i="4"/>
  <c r="F31" i="4"/>
  <c r="C34" i="2"/>
  <c r="C12" i="4"/>
  <c r="C7" i="4"/>
  <c r="C31" i="4"/>
  <c r="C21" i="4"/>
  <c r="B31" i="4"/>
  <c r="B21" i="4"/>
  <c r="D21" i="4"/>
  <c r="D31" i="4"/>
  <c r="D34" i="2"/>
  <c r="D12" i="4"/>
  <c r="D7" i="4"/>
  <c r="B7" i="4"/>
  <c r="I7" i="9" l="1"/>
  <c r="G7" i="9"/>
  <c r="K7" i="9"/>
  <c r="K8" i="9" s="1"/>
  <c r="L7" i="9"/>
  <c r="H7" i="9"/>
  <c r="C7" i="9"/>
  <c r="C8" i="9" s="1"/>
  <c r="F7" i="9"/>
  <c r="D7" i="9"/>
  <c r="E7" i="9"/>
  <c r="J7" i="9"/>
  <c r="F24" i="2"/>
  <c r="B24" i="6" s="1"/>
  <c r="E16" i="6"/>
  <c r="H16" i="6"/>
  <c r="F8" i="9"/>
  <c r="I16" i="1"/>
  <c r="C16" i="7" s="1"/>
  <c r="K4" i="10"/>
  <c r="K21" i="6"/>
  <c r="I18" i="9"/>
  <c r="I15" i="9"/>
  <c r="L8" i="9"/>
  <c r="L18" i="9"/>
  <c r="L15" i="9"/>
  <c r="F15" i="9"/>
  <c r="F18" i="9"/>
  <c r="I8" i="9"/>
  <c r="I17" i="1"/>
  <c r="C17" i="7" s="1"/>
  <c r="I33" i="1"/>
  <c r="K18" i="9"/>
  <c r="K15" i="9"/>
  <c r="G4" i="10"/>
  <c r="G21" i="6"/>
  <c r="I19" i="1"/>
  <c r="C27" i="7"/>
  <c r="C29" i="7"/>
  <c r="C10" i="7"/>
  <c r="C22" i="7"/>
  <c r="C11" i="7"/>
  <c r="C15" i="7"/>
  <c r="C28" i="7"/>
  <c r="C36" i="7"/>
  <c r="C31" i="7"/>
  <c r="C32" i="7"/>
  <c r="C37" i="7"/>
  <c r="D19" i="7"/>
  <c r="C23" i="7"/>
  <c r="C30" i="7"/>
  <c r="C7" i="7"/>
  <c r="C41" i="7"/>
  <c r="C25" i="7"/>
  <c r="C13" i="7"/>
  <c r="G18" i="9"/>
  <c r="G15" i="9"/>
  <c r="I41" i="1"/>
  <c r="I20" i="1"/>
  <c r="G8" i="9"/>
  <c r="I21" i="1"/>
  <c r="C21" i="6"/>
  <c r="B4" i="10"/>
  <c r="B9" i="10" s="1"/>
  <c r="I8" i="1"/>
  <c r="C8" i="7" s="1"/>
  <c r="C9" i="9" s="1"/>
  <c r="I22" i="1"/>
  <c r="I37" i="1"/>
  <c r="C15" i="9"/>
  <c r="C18" i="9"/>
  <c r="H8" i="9"/>
  <c r="F7" i="4"/>
  <c r="I23" i="1"/>
  <c r="I38" i="1"/>
  <c r="C38" i="7" s="1"/>
  <c r="I40" i="1"/>
  <c r="H15" i="9"/>
  <c r="H18" i="9"/>
  <c r="D21" i="6"/>
  <c r="D4" i="10"/>
  <c r="I24" i="1"/>
  <c r="C24" i="7" s="1"/>
  <c r="I39" i="1"/>
  <c r="C39" i="7" s="1"/>
  <c r="I18" i="1"/>
  <c r="J16" i="6"/>
  <c r="D18" i="9"/>
  <c r="D15" i="9"/>
  <c r="E7" i="4"/>
  <c r="I12" i="1"/>
  <c r="C12" i="7" s="1"/>
  <c r="I25" i="1"/>
  <c r="O41" i="1"/>
  <c r="B41" i="7"/>
  <c r="E8" i="9"/>
  <c r="J8" i="9"/>
  <c r="D8" i="9"/>
  <c r="E12" i="4"/>
  <c r="I13" i="1"/>
  <c r="I27" i="1"/>
  <c r="I34" i="1"/>
  <c r="E15" i="9"/>
  <c r="E18" i="9"/>
  <c r="J15" i="9"/>
  <c r="J18" i="9"/>
  <c r="E34" i="2"/>
  <c r="F23" i="2"/>
  <c r="I14" i="1"/>
  <c r="C14" i="7" s="1"/>
  <c r="I28" i="1"/>
  <c r="I9" i="1"/>
  <c r="F16" i="6"/>
  <c r="L16" i="6"/>
  <c r="I16" i="6"/>
  <c r="P34" i="1"/>
  <c r="G41" i="1"/>
  <c r="P41" i="1" s="1"/>
  <c r="F12" i="4"/>
  <c r="H21" i="6" l="1"/>
  <c r="H4" i="10"/>
  <c r="C44" i="7"/>
  <c r="C45" i="7" s="1"/>
  <c r="F34" i="2"/>
  <c r="B34" i="6" s="1"/>
  <c r="F25" i="2"/>
  <c r="I25" i="2" s="1"/>
  <c r="E4" i="10"/>
  <c r="E21" i="6"/>
  <c r="C10" i="9"/>
  <c r="C11" i="9"/>
  <c r="C20" i="9" s="1"/>
  <c r="C21" i="9" s="1"/>
  <c r="C18" i="7"/>
  <c r="C4" i="7" s="1"/>
  <c r="C9" i="7" s="1"/>
  <c r="J4" i="10"/>
  <c r="J21" i="6"/>
  <c r="I22" i="2"/>
  <c r="D10" i="5" s="1"/>
  <c r="D22" i="5" s="1"/>
  <c r="B23" i="6"/>
  <c r="C33" i="7"/>
  <c r="C40" i="7"/>
  <c r="C21" i="7" s="1"/>
  <c r="C26" i="7" s="1"/>
  <c r="C34" i="7" s="1"/>
  <c r="L4" i="10"/>
  <c r="L21" i="6"/>
  <c r="F4" i="10"/>
  <c r="F21" i="6"/>
  <c r="D30" i="7"/>
  <c r="D7" i="7"/>
  <c r="D23" i="7"/>
  <c r="D31" i="7"/>
  <c r="D28" i="7"/>
  <c r="D17" i="7"/>
  <c r="D27" i="7"/>
  <c r="D22" i="7"/>
  <c r="D24" i="7"/>
  <c r="D12" i="7"/>
  <c r="D13" i="7"/>
  <c r="D8" i="7"/>
  <c r="D36" i="7"/>
  <c r="D25" i="7"/>
  <c r="D14" i="7"/>
  <c r="D32" i="7"/>
  <c r="D29" i="7"/>
  <c r="D15" i="7"/>
  <c r="D10" i="7"/>
  <c r="D38" i="7"/>
  <c r="D16" i="7"/>
  <c r="D41" i="7"/>
  <c r="D37" i="7"/>
  <c r="D11" i="7"/>
  <c r="D39" i="7"/>
  <c r="E19" i="7"/>
  <c r="I23" i="2"/>
  <c r="I4" i="10"/>
  <c r="I21" i="6"/>
  <c r="B25" i="6"/>
  <c r="D9" i="9" l="1"/>
  <c r="D10" i="9" s="1"/>
  <c r="D44" i="7"/>
  <c r="D45" i="7" s="1"/>
  <c r="I24" i="2"/>
  <c r="L13" i="10"/>
  <c r="H13" i="10"/>
  <c r="G13" i="10"/>
  <c r="F13" i="10"/>
  <c r="K13" i="10"/>
  <c r="J13" i="10"/>
  <c r="I13" i="10"/>
  <c r="E13" i="10"/>
  <c r="D13" i="10"/>
  <c r="D22" i="6"/>
  <c r="D5" i="10" s="1"/>
  <c r="D9" i="10" s="1"/>
  <c r="L22" i="6"/>
  <c r="K22" i="6"/>
  <c r="K5" i="10" s="1"/>
  <c r="K9" i="10" s="1"/>
  <c r="E38" i="7"/>
  <c r="E11" i="7"/>
  <c r="E37" i="7"/>
  <c r="E41" i="7"/>
  <c r="E29" i="7"/>
  <c r="E17" i="7"/>
  <c r="E8" i="7"/>
  <c r="E25" i="7"/>
  <c r="E13" i="7"/>
  <c r="F19" i="7"/>
  <c r="E30" i="7"/>
  <c r="E7" i="7"/>
  <c r="E12" i="7"/>
  <c r="E31" i="7"/>
  <c r="E36" i="7"/>
  <c r="E32" i="7"/>
  <c r="E10" i="7"/>
  <c r="E27" i="7"/>
  <c r="E15" i="7"/>
  <c r="E24" i="7"/>
  <c r="E14" i="7"/>
  <c r="E23" i="7"/>
  <c r="E39" i="7"/>
  <c r="E16" i="7"/>
  <c r="E22" i="7"/>
  <c r="E28" i="7"/>
  <c r="J22" i="6"/>
  <c r="G22" i="6"/>
  <c r="G5" i="10" s="1"/>
  <c r="G9" i="10" s="1"/>
  <c r="E22" i="6"/>
  <c r="E5" i="10" s="1"/>
  <c r="E9" i="10" s="1"/>
  <c r="I22" i="6"/>
  <c r="F22" i="6"/>
  <c r="D40" i="7"/>
  <c r="H22" i="6"/>
  <c r="H5" i="10" s="1"/>
  <c r="H9" i="10" s="1"/>
  <c r="D18" i="7"/>
  <c r="D4" i="7" s="1"/>
  <c r="D9" i="7" s="1"/>
  <c r="D33" i="7"/>
  <c r="C22" i="6"/>
  <c r="C5" i="10" s="1"/>
  <c r="C9" i="10" s="1"/>
  <c r="I24" i="6" l="1"/>
  <c r="I25" i="6" s="1"/>
  <c r="I5" i="10"/>
  <c r="I9" i="10" s="1"/>
  <c r="F24" i="6"/>
  <c r="F5" i="10"/>
  <c r="F9" i="10" s="1"/>
  <c r="E9" i="9"/>
  <c r="E44" i="7"/>
  <c r="E45" i="7" s="1"/>
  <c r="D11" i="9"/>
  <c r="D20" i="9" s="1"/>
  <c r="D21" i="9" s="1"/>
  <c r="E18" i="7"/>
  <c r="E4" i="7" s="1"/>
  <c r="E9" i="7" s="1"/>
  <c r="J24" i="6"/>
  <c r="J25" i="6" s="1"/>
  <c r="J5" i="10"/>
  <c r="J9" i="10" s="1"/>
  <c r="L24" i="6"/>
  <c r="L25" i="6" s="1"/>
  <c r="L5" i="10"/>
  <c r="L9" i="10" s="1"/>
  <c r="E33" i="7"/>
  <c r="E40" i="7"/>
  <c r="D21" i="7"/>
  <c r="D26" i="7" s="1"/>
  <c r="D34" i="7" s="1"/>
  <c r="D24" i="6"/>
  <c r="E10" i="9"/>
  <c r="E11" i="9"/>
  <c r="E20" i="9" s="1"/>
  <c r="E21" i="9" s="1"/>
  <c r="G24" i="6"/>
  <c r="G25" i="6" s="1"/>
  <c r="F25" i="6"/>
  <c r="F34" i="6"/>
  <c r="E21" i="7"/>
  <c r="E26" i="7" s="1"/>
  <c r="E34" i="7" s="1"/>
  <c r="C14" i="10"/>
  <c r="C24" i="6"/>
  <c r="E24" i="6"/>
  <c r="K24" i="6"/>
  <c r="K25" i="6" s="1"/>
  <c r="H24" i="6"/>
  <c r="H25" i="6" s="1"/>
  <c r="F30" i="7"/>
  <c r="F36" i="7"/>
  <c r="F7" i="7"/>
  <c r="F38" i="7"/>
  <c r="F17" i="7"/>
  <c r="F28" i="7"/>
  <c r="F8" i="7"/>
  <c r="F23" i="7"/>
  <c r="F31" i="7"/>
  <c r="F15" i="7"/>
  <c r="F39" i="7"/>
  <c r="F11" i="7"/>
  <c r="F24" i="7"/>
  <c r="F37" i="7"/>
  <c r="F12" i="7"/>
  <c r="F27" i="7"/>
  <c r="F25" i="7"/>
  <c r="F22" i="7"/>
  <c r="F13" i="7"/>
  <c r="F14" i="7"/>
  <c r="F29" i="7"/>
  <c r="F10" i="7"/>
  <c r="F32" i="7"/>
  <c r="G19" i="7"/>
  <c r="F41" i="7"/>
  <c r="F16" i="7"/>
  <c r="F9" i="9" l="1"/>
  <c r="F44" i="7"/>
  <c r="F45" i="7" s="1"/>
  <c r="G37" i="7"/>
  <c r="G36" i="7"/>
  <c r="G32" i="7"/>
  <c r="G25" i="7"/>
  <c r="G27" i="7"/>
  <c r="G17" i="7"/>
  <c r="G24" i="7"/>
  <c r="G13" i="7"/>
  <c r="G22" i="7"/>
  <c r="G8" i="7"/>
  <c r="G16" i="7"/>
  <c r="G30" i="7"/>
  <c r="G14" i="7"/>
  <c r="G38" i="7"/>
  <c r="G12" i="7"/>
  <c r="G23" i="7"/>
  <c r="G10" i="7"/>
  <c r="G11" i="7"/>
  <c r="G7" i="7"/>
  <c r="G31" i="7"/>
  <c r="H19" i="7"/>
  <c r="G29" i="7"/>
  <c r="G41" i="7"/>
  <c r="G28" i="7"/>
  <c r="G39" i="7"/>
  <c r="G15" i="7"/>
  <c r="F40" i="7"/>
  <c r="C25" i="6"/>
  <c r="C34" i="6"/>
  <c r="F18" i="7"/>
  <c r="F4" i="7" s="1"/>
  <c r="F9" i="7" s="1"/>
  <c r="E14" i="10"/>
  <c r="F10" i="9"/>
  <c r="F11" i="9"/>
  <c r="F20" i="9" s="1"/>
  <c r="F21" i="9" s="1"/>
  <c r="D25" i="6"/>
  <c r="D34" i="6"/>
  <c r="F33" i="7"/>
  <c r="E25" i="6"/>
  <c r="E34" i="6"/>
  <c r="D14" i="10"/>
  <c r="G9" i="9" l="1"/>
  <c r="G10" i="9" s="1"/>
  <c r="G44" i="7"/>
  <c r="G45" i="7" s="1"/>
  <c r="F21" i="7"/>
  <c r="F26" i="7" s="1"/>
  <c r="F34" i="7" s="1"/>
  <c r="H10" i="7"/>
  <c r="H15" i="7"/>
  <c r="H37" i="7"/>
  <c r="H27" i="7"/>
  <c r="H14" i="7"/>
  <c r="H29" i="7"/>
  <c r="I19" i="7"/>
  <c r="H36" i="7"/>
  <c r="H32" i="7"/>
  <c r="H25" i="7"/>
  <c r="H16" i="7"/>
  <c r="H17" i="7"/>
  <c r="H7" i="7"/>
  <c r="H13" i="7"/>
  <c r="H38" i="7"/>
  <c r="H41" i="7"/>
  <c r="H23" i="7"/>
  <c r="H11" i="7"/>
  <c r="H24" i="7"/>
  <c r="H22" i="7"/>
  <c r="H28" i="7"/>
  <c r="H30" i="7"/>
  <c r="H8" i="7"/>
  <c r="H31" i="7"/>
  <c r="H39" i="7"/>
  <c r="H12" i="7"/>
  <c r="G18" i="7"/>
  <c r="G4" i="7" s="1"/>
  <c r="G9" i="7" s="1"/>
  <c r="G33" i="7"/>
  <c r="G40" i="7"/>
  <c r="F14" i="10"/>
  <c r="G11" i="9"/>
  <c r="G20" i="9" s="1"/>
  <c r="G21" i="9" s="1"/>
  <c r="H9" i="9" l="1"/>
  <c r="H44" i="7"/>
  <c r="H45" i="7" s="1"/>
  <c r="H40" i="7"/>
  <c r="G14" i="10"/>
  <c r="H10" i="9"/>
  <c r="H11" i="9"/>
  <c r="H20" i="9" s="1"/>
  <c r="H21" i="9" s="1"/>
  <c r="I31" i="7"/>
  <c r="I37" i="7"/>
  <c r="I39" i="7"/>
  <c r="I22" i="7"/>
  <c r="I32" i="7"/>
  <c r="I10" i="7"/>
  <c r="I24" i="7"/>
  <c r="I30" i="7"/>
  <c r="I16" i="7"/>
  <c r="I38" i="7"/>
  <c r="J19" i="7"/>
  <c r="I12" i="7"/>
  <c r="I23" i="7"/>
  <c r="I29" i="7"/>
  <c r="I7" i="7"/>
  <c r="I11" i="7"/>
  <c r="I36" i="7"/>
  <c r="I27" i="7"/>
  <c r="I25" i="7"/>
  <c r="I14" i="7"/>
  <c r="I17" i="7"/>
  <c r="I28" i="7"/>
  <c r="I13" i="7"/>
  <c r="I15" i="7"/>
  <c r="I8" i="7"/>
  <c r="I41" i="7"/>
  <c r="G21" i="7"/>
  <c r="G26" i="7" s="1"/>
  <c r="G34" i="7" s="1"/>
  <c r="H33" i="7"/>
  <c r="H21" i="7" s="1"/>
  <c r="H26" i="7" s="1"/>
  <c r="H34" i="7" s="1"/>
  <c r="H18" i="7"/>
  <c r="H4" i="7" s="1"/>
  <c r="H9" i="7" s="1"/>
  <c r="I40" i="7" l="1"/>
  <c r="I9" i="9"/>
  <c r="I44" i="7"/>
  <c r="I45" i="7" s="1"/>
  <c r="I33" i="7"/>
  <c r="I18" i="7"/>
  <c r="I4" i="7" s="1"/>
  <c r="I9" i="7" s="1"/>
  <c r="I21" i="7"/>
  <c r="I26" i="7" s="1"/>
  <c r="I34" i="7" s="1"/>
  <c r="I10" i="9"/>
  <c r="I11" i="9"/>
  <c r="I20" i="9" s="1"/>
  <c r="I21" i="9" s="1"/>
  <c r="H14" i="10"/>
  <c r="J23" i="7"/>
  <c r="J16" i="7"/>
  <c r="J17" i="7"/>
  <c r="J12" i="7"/>
  <c r="J15" i="7"/>
  <c r="J7" i="7"/>
  <c r="J13" i="7"/>
  <c r="J37" i="7"/>
  <c r="J11" i="7"/>
  <c r="J22" i="7"/>
  <c r="J8" i="7"/>
  <c r="J10" i="7"/>
  <c r="K19" i="7"/>
  <c r="J29" i="7"/>
  <c r="J27" i="7"/>
  <c r="J30" i="7"/>
  <c r="J41" i="7"/>
  <c r="J14" i="7"/>
  <c r="J38" i="7"/>
  <c r="J31" i="7"/>
  <c r="J36" i="7"/>
  <c r="J39" i="7"/>
  <c r="J28" i="7"/>
  <c r="J32" i="7"/>
  <c r="J25" i="7"/>
  <c r="J24" i="7"/>
  <c r="J9" i="9" l="1"/>
  <c r="J44" i="7"/>
  <c r="J45" i="7" s="1"/>
  <c r="J33" i="7"/>
  <c r="L19" i="7"/>
  <c r="K23" i="7"/>
  <c r="K27" i="7"/>
  <c r="K31" i="7"/>
  <c r="K15" i="7"/>
  <c r="K14" i="7"/>
  <c r="K39" i="7"/>
  <c r="K11" i="7"/>
  <c r="K32" i="7"/>
  <c r="K36" i="7"/>
  <c r="K24" i="7"/>
  <c r="K17" i="7"/>
  <c r="K16" i="7"/>
  <c r="K8" i="7"/>
  <c r="K12" i="7"/>
  <c r="K37" i="7"/>
  <c r="K7" i="7"/>
  <c r="K22" i="7"/>
  <c r="K41" i="7"/>
  <c r="K10" i="7"/>
  <c r="K18" i="7" s="1"/>
  <c r="K4" i="7" s="1"/>
  <c r="K9" i="7" s="1"/>
  <c r="K30" i="7"/>
  <c r="K25" i="7"/>
  <c r="K38" i="7"/>
  <c r="K13" i="7"/>
  <c r="K28" i="7"/>
  <c r="K29" i="7"/>
  <c r="J18" i="7"/>
  <c r="J4" i="7" s="1"/>
  <c r="J9" i="7" s="1"/>
  <c r="J10" i="9"/>
  <c r="J11" i="9"/>
  <c r="J20" i="9" s="1"/>
  <c r="J21" i="9" s="1"/>
  <c r="J40" i="7"/>
  <c r="J21" i="7" s="1"/>
  <c r="J26" i="7" s="1"/>
  <c r="J34" i="7" s="1"/>
  <c r="I14" i="10"/>
  <c r="K9" i="9" l="1"/>
  <c r="K44" i="7"/>
  <c r="K45" i="7" s="1"/>
  <c r="K40" i="7"/>
  <c r="J14" i="10"/>
  <c r="K33" i="7"/>
  <c r="K21" i="7" s="1"/>
  <c r="K26" i="7" s="1"/>
  <c r="K34" i="7" s="1"/>
  <c r="K10" i="9"/>
  <c r="K11" i="9"/>
  <c r="K20" i="9" s="1"/>
  <c r="K21" i="9" s="1"/>
  <c r="L28" i="7"/>
  <c r="L24" i="7"/>
  <c r="L23" i="7"/>
  <c r="L12" i="7"/>
  <c r="L11" i="7"/>
  <c r="L13" i="7"/>
  <c r="L37" i="7"/>
  <c r="L27" i="7"/>
  <c r="L22" i="7"/>
  <c r="L41" i="7"/>
  <c r="L17" i="7"/>
  <c r="L30" i="7"/>
  <c r="L8" i="7"/>
  <c r="L38" i="7"/>
  <c r="L39" i="7"/>
  <c r="L15" i="7"/>
  <c r="L25" i="7"/>
  <c r="L29" i="7"/>
  <c r="L32" i="7"/>
  <c r="L16" i="7"/>
  <c r="L14" i="7"/>
  <c r="L7" i="7"/>
  <c r="L10" i="7"/>
  <c r="L36" i="7"/>
  <c r="L31" i="7"/>
  <c r="L9" i="9" l="1"/>
  <c r="L10" i="9" s="1"/>
  <c r="L44" i="7"/>
  <c r="L45" i="7" s="1"/>
  <c r="L40" i="7"/>
  <c r="K14" i="10"/>
  <c r="L18" i="7"/>
  <c r="L4" i="7" s="1"/>
  <c r="L9" i="7" s="1"/>
  <c r="L33" i="7"/>
  <c r="L21" i="7" s="1"/>
  <c r="L26" i="7" s="1"/>
  <c r="L34" i="7" s="1"/>
  <c r="L11" i="9" l="1"/>
  <c r="L20" i="9" s="1"/>
  <c r="L21" i="9" s="1"/>
  <c r="L12" i="10" l="1"/>
  <c r="L14" i="10" s="1"/>
  <c r="C15" i="10" l="1"/>
  <c r="C21" i="10" s="1"/>
  <c r="C24" i="10" s="1"/>
  <c r="D18" i="5" l="1"/>
  <c r="D31" i="5" s="1"/>
  <c r="C25" i="10"/>
  <c r="C27" i="10" s="1"/>
  <c r="C29" i="10"/>
  <c r="C28" i="10"/>
  <c r="D32" i="5" l="1"/>
</calcChain>
</file>

<file path=xl/sharedStrings.xml><?xml version="1.0" encoding="utf-8"?>
<sst xmlns="http://schemas.openxmlformats.org/spreadsheetml/2006/main" count="521" uniqueCount="294">
  <si>
    <t>Cash and cash equivalents</t>
  </si>
  <si>
    <t>Trade and other receivables</t>
  </si>
  <si>
    <t>Inventories</t>
  </si>
  <si>
    <t>Current tax assets</t>
  </si>
  <si>
    <t>Other current assets</t>
  </si>
  <si>
    <t>Total current assets</t>
  </si>
  <si>
    <t>Non-current receivables</t>
  </si>
  <si>
    <t>Investments in joint ventures</t>
  </si>
  <si>
    <t>Deferred tax assets</t>
  </si>
  <si>
    <t>Property, plant and equipment</t>
  </si>
  <si>
    <t>Intangible assets</t>
  </si>
  <si>
    <t>Other non-current assets</t>
  </si>
  <si>
    <t>Total non-current assets</t>
  </si>
  <si>
    <t>Total assets</t>
  </si>
  <si>
    <t>Trade and other payables</t>
  </si>
  <si>
    <t>Loans and other borrowings</t>
  </si>
  <si>
    <t>Current tax liabilities</t>
  </si>
  <si>
    <t>Employee benefits</t>
  </si>
  <si>
    <t>Provisions</t>
  </si>
  <si>
    <t>Other current liabilities</t>
  </si>
  <si>
    <t>Total current liabilities</t>
  </si>
  <si>
    <t>Non-current payables</t>
  </si>
  <si>
    <t>Deferred tax liabilities</t>
  </si>
  <si>
    <t>Other non-current liabilities</t>
  </si>
  <si>
    <t>Total non-current liabilities</t>
  </si>
  <si>
    <t>Total liabilities</t>
  </si>
  <si>
    <t>Share capital</t>
  </si>
  <si>
    <t>Reserves</t>
  </si>
  <si>
    <t>Retained earnings</t>
  </si>
  <si>
    <t>Total equity</t>
  </si>
  <si>
    <t>Total liabilities and equity</t>
  </si>
  <si>
    <t>FY16</t>
  </si>
  <si>
    <t>FY17</t>
  </si>
  <si>
    <t>FY18</t>
  </si>
  <si>
    <t>FY19</t>
  </si>
  <si>
    <t>FY20</t>
  </si>
  <si>
    <t>FY21E</t>
  </si>
  <si>
    <t>FY22E</t>
  </si>
  <si>
    <t>FY23E</t>
  </si>
  <si>
    <t>FY24E</t>
  </si>
  <si>
    <t>FY25E</t>
  </si>
  <si>
    <r>
      <t xml:space="preserve">Balance Sheet </t>
    </r>
    <r>
      <rPr>
        <b/>
        <sz val="12"/>
        <color rgb="FF002060"/>
        <rFont val="Calibri"/>
        <family val="2"/>
        <scheme val="minor"/>
      </rPr>
      <t>(In € million)</t>
    </r>
  </si>
  <si>
    <t>Right-of-use assets</t>
  </si>
  <si>
    <t>Additional paid-in capital</t>
  </si>
  <si>
    <t>Treasury shares</t>
  </si>
  <si>
    <t>SIG Combibloc Group</t>
  </si>
  <si>
    <t>Revenue</t>
  </si>
  <si>
    <t>Cost of sales</t>
  </si>
  <si>
    <t>Gross profit</t>
  </si>
  <si>
    <t>Other income</t>
  </si>
  <si>
    <t>Selling, marketing and distribution expenses</t>
  </si>
  <si>
    <t>General and administrative expenses</t>
  </si>
  <si>
    <t>Other expenses</t>
  </si>
  <si>
    <t>Share of profit of joint ventures, net of income tax</t>
  </si>
  <si>
    <t>Profit from operating activities</t>
  </si>
  <si>
    <t>Finance income</t>
  </si>
  <si>
    <t>Finance expenses</t>
  </si>
  <si>
    <t>Net finance expense</t>
  </si>
  <si>
    <t>Income tax expense</t>
  </si>
  <si>
    <t>Other comprehensive income</t>
  </si>
  <si>
    <t>Items that may be reclassified to profit or loss</t>
  </si>
  <si>
    <t>Currency translations of foreign operations:</t>
  </si>
  <si>
    <t>- recognized in translation reserve</t>
  </si>
  <si>
    <t>Items that will not be reclassified to profit or loss</t>
  </si>
  <si>
    <t>Remeasurement of defined benefit plans</t>
  </si>
  <si>
    <t>Total other comprehensive income, net of income tax</t>
  </si>
  <si>
    <t>Total comprehensive income</t>
  </si>
  <si>
    <t>Cash Flow Statement (In € million)</t>
  </si>
  <si>
    <t>Cash flows from operating activities</t>
  </si>
  <si>
    <t>Adjustments for:</t>
  </si>
  <si>
    <t>Depreciation and amortization</t>
  </si>
  <si>
    <t>Impairment losses</t>
  </si>
  <si>
    <t>Change in fair value of derivatives</t>
  </si>
  <si>
    <t>Gain on sale of property, plant and equipment and non-current assets</t>
  </si>
  <si>
    <t>Interest paid</t>
  </si>
  <si>
    <t>Income taxes paid, net of refunds received</t>
  </si>
  <si>
    <t>Change in trade and other receivables</t>
  </si>
  <si>
    <t>Change in inventories</t>
  </si>
  <si>
    <t>Change in trade and other payables</t>
  </si>
  <si>
    <t>Change in provisions and employee benefits</t>
  </si>
  <si>
    <t>Change in other assets and liabilities</t>
  </si>
  <si>
    <t>Net cash from operating activities</t>
  </si>
  <si>
    <t>Cash flows from investing activities</t>
  </si>
  <si>
    <t>Acquisition of business, payment of contingent consideration</t>
  </si>
  <si>
    <t>Acquisition of property, plant and equipment and intangible assets</t>
  </si>
  <si>
    <t>Proceeds from sale of property, plant and equipment and other assets</t>
  </si>
  <si>
    <t>Dividends received from joint ventures</t>
  </si>
  <si>
    <t>Interest received</t>
  </si>
  <si>
    <t>Net cash used in investing activities</t>
  </si>
  <si>
    <t>Cash flows from financing activities</t>
  </si>
  <si>
    <t>Payment of transaction costs relating to financing</t>
  </si>
  <si>
    <t>Repayment of loans and borrowings</t>
  </si>
  <si>
    <t>Payment of finance lease liabilities</t>
  </si>
  <si>
    <t>Proceeds from sale and leaseback transactions</t>
  </si>
  <si>
    <t>Proceeds from issue of shares</t>
  </si>
  <si>
    <t>Other</t>
  </si>
  <si>
    <t>Net cash used in financing activities</t>
  </si>
  <si>
    <t>Net increase/(decrease) in cash and cash equivalents</t>
  </si>
  <si>
    <t>Cash and cash equivalents at the beginning of the period</t>
  </si>
  <si>
    <t>Effect of exchange rate fluctuations on cash and cash equivalents</t>
  </si>
  <si>
    <t>Cash and cash equivalents at the end of the period</t>
  </si>
  <si>
    <t>Profit&amp;Loss Account (In € million)</t>
  </si>
  <si>
    <t>Profit/Loss before income tax</t>
  </si>
  <si>
    <t>– transfer from translation reserve</t>
  </si>
  <si>
    <t>Share-based payment expense</t>
  </si>
  <si>
    <t>IPO-related costs</t>
  </si>
  <si>
    <t>Payment of transaction and other costs relating to financing</t>
  </si>
  <si>
    <t>Payment of fee for early redemption of notes</t>
  </si>
  <si>
    <t>Investment in joint venture</t>
  </si>
  <si>
    <t>Proceeds from loans and borrowings</t>
  </si>
  <si>
    <t>Proceeds from issue of shares in the IPO</t>
  </si>
  <si>
    <t>Purchase of treasury shares</t>
  </si>
  <si>
    <t>Payment of dividends</t>
  </si>
  <si>
    <t>Profit/Loss for the period</t>
  </si>
  <si>
    <t>Payments relating to the IPO</t>
  </si>
  <si>
    <t>Share of profit/loss of joint ventures, net of income tax</t>
  </si>
  <si>
    <t>Sale of subsidiary, net of cash disposed of</t>
  </si>
  <si>
    <t>Profitability Ratios</t>
  </si>
  <si>
    <t>Return on Assets %</t>
  </si>
  <si>
    <t>Return on Equity %</t>
  </si>
  <si>
    <t>Gross Margin %</t>
  </si>
  <si>
    <t>Operating Margin %</t>
  </si>
  <si>
    <t>Net Margin %</t>
  </si>
  <si>
    <t>Liquidity Ratios</t>
  </si>
  <si>
    <t>Quick Ratio</t>
  </si>
  <si>
    <t>Current Ratio</t>
  </si>
  <si>
    <t>Inventory Turnover</t>
  </si>
  <si>
    <t>Assets Turnover</t>
  </si>
  <si>
    <t>Days Sales Outstanding</t>
  </si>
  <si>
    <t>Days Inventory</t>
  </si>
  <si>
    <t>Payables Period</t>
  </si>
  <si>
    <t>Solvency Ratios</t>
  </si>
  <si>
    <t>Ratios</t>
  </si>
  <si>
    <t>Financial Leverage</t>
  </si>
  <si>
    <t>Debt to assets Ratio</t>
  </si>
  <si>
    <t>Long term debt to total assets Ratio</t>
  </si>
  <si>
    <t>Debt to equity Ratio</t>
  </si>
  <si>
    <t>https://www.tradingview.com/symbols/OTC-SCBGF/financials/statistics-and-ratios/</t>
  </si>
  <si>
    <t>Adj. EBITDA Margin %</t>
  </si>
  <si>
    <t>Rational</t>
  </si>
  <si>
    <t>Assumption</t>
  </si>
  <si>
    <t>Basis</t>
  </si>
  <si>
    <t>CAGR</t>
  </si>
  <si>
    <t>Avg</t>
  </si>
  <si>
    <t>Y-o-Y Growth</t>
  </si>
  <si>
    <t>% of Sales</t>
  </si>
  <si>
    <t>Latest Year's %</t>
  </si>
  <si>
    <t>Avg %</t>
  </si>
  <si>
    <t>Net Total Expense</t>
  </si>
  <si>
    <t>% of sales</t>
  </si>
  <si>
    <t>% of PBT</t>
  </si>
  <si>
    <t>Net Profit Margin</t>
  </si>
  <si>
    <t>-</t>
  </si>
  <si>
    <t>H1FY21</t>
  </si>
  <si>
    <t>Avg of 5 Yrs</t>
  </si>
  <si>
    <t>Sr No</t>
  </si>
  <si>
    <t>Head</t>
  </si>
  <si>
    <t>Assumption Taken</t>
  </si>
  <si>
    <t>Figure</t>
  </si>
  <si>
    <t>Justification</t>
  </si>
  <si>
    <t>Income Statement Related</t>
  </si>
  <si>
    <t>Sales Growth</t>
  </si>
  <si>
    <t>COGS</t>
  </si>
  <si>
    <t>Net Interest Exp</t>
  </si>
  <si>
    <t>Effective Tax Rate</t>
  </si>
  <si>
    <t>Balance Sheet Related</t>
  </si>
  <si>
    <t>Avg Receivables Period</t>
  </si>
  <si>
    <t>Projections of the Net Current Assets have been done based on historical holding period.</t>
  </si>
  <si>
    <t>Avg Intentory Period</t>
  </si>
  <si>
    <t>Avg Payables Period</t>
  </si>
  <si>
    <t>Depreciation</t>
  </si>
  <si>
    <t>Projections for Dep has been done as a percentage of sales for simplicity</t>
  </si>
  <si>
    <t>Capex</t>
  </si>
  <si>
    <t>Difference between gross blocks is the capex for past 10 years and these as a % of sales  for projected years have been taken</t>
  </si>
  <si>
    <t>WACC Related</t>
  </si>
  <si>
    <t>Equity Value</t>
  </si>
  <si>
    <t>Current Market Capitalization</t>
  </si>
  <si>
    <t>Debt Value</t>
  </si>
  <si>
    <t xml:space="preserve">latest two-year average Short-Term Debt &amp; Capital Lease Obligation and Long-Term Debt &amp; Capital Lease Obligation </t>
  </si>
  <si>
    <t>Cost of Equity</t>
  </si>
  <si>
    <t>Using CAPM Model</t>
  </si>
  <si>
    <t>Cost of Debt</t>
  </si>
  <si>
    <t>Tax Rate</t>
  </si>
  <si>
    <t>Taken from latest year's effecctive tax rate</t>
  </si>
  <si>
    <t>FY21</t>
  </si>
  <si>
    <t>FY22</t>
  </si>
  <si>
    <t>FY23</t>
  </si>
  <si>
    <t>FY24</t>
  </si>
  <si>
    <t>FY25</t>
  </si>
  <si>
    <t>FY26</t>
  </si>
  <si>
    <t>FY27</t>
  </si>
  <si>
    <t>FY28</t>
  </si>
  <si>
    <t>FY29</t>
  </si>
  <si>
    <t>FY30</t>
  </si>
  <si>
    <t>Average growth rate of last 2 years</t>
  </si>
  <si>
    <t>FY25 onwards</t>
  </si>
  <si>
    <t>Long term Avg Growth rate as per Statista</t>
  </si>
  <si>
    <t>Net Op Expenses</t>
  </si>
  <si>
    <t>HISTORICAL NWC CHANGES</t>
  </si>
  <si>
    <t>Assumption for Calculation</t>
  </si>
  <si>
    <t>Working Capital Schedule</t>
  </si>
  <si>
    <t>Current Assets</t>
  </si>
  <si>
    <t xml:space="preserve"> Accounts &amp; Notes Receiv</t>
  </si>
  <si>
    <t>Receivables Days</t>
  </si>
  <si>
    <t>Inventory</t>
  </si>
  <si>
    <t>Inventory Days</t>
  </si>
  <si>
    <t>Other Current Assets</t>
  </si>
  <si>
    <t>Avg of 10 years % of Sales</t>
  </si>
  <si>
    <t>Total Current Assets</t>
  </si>
  <si>
    <t>Current Liabilities</t>
  </si>
  <si>
    <t>Payables &amp; Accruals</t>
  </si>
  <si>
    <t>Payable Days</t>
  </si>
  <si>
    <t>Other Current Liabilities</t>
  </si>
  <si>
    <t>Total Current Liabilities</t>
  </si>
  <si>
    <t>Net Working Capital</t>
  </si>
  <si>
    <t>Avg of 5 years Holding Period</t>
  </si>
  <si>
    <t>Avg of 5 years % of Sales</t>
  </si>
  <si>
    <t>Balance Sheet (In € million)</t>
  </si>
  <si>
    <t>Accumulated Deprication</t>
  </si>
  <si>
    <t>Annual Depriciation</t>
  </si>
  <si>
    <t>Depriciation as % of Sales</t>
  </si>
  <si>
    <t>Historical Capex</t>
  </si>
  <si>
    <t>Gross Block</t>
  </si>
  <si>
    <t>Capex as a % of Sales</t>
  </si>
  <si>
    <t>Projected Capex</t>
  </si>
  <si>
    <t>New Capx</t>
  </si>
  <si>
    <t>Free Cash Flow</t>
  </si>
  <si>
    <t>Sales</t>
  </si>
  <si>
    <t>`+ EBIT</t>
  </si>
  <si>
    <t>`- Tax</t>
  </si>
  <si>
    <t>`- Capex</t>
  </si>
  <si>
    <t>`- Change in NWC</t>
  </si>
  <si>
    <t>Terminal Value</t>
  </si>
  <si>
    <t>Present Value Factor</t>
  </si>
  <si>
    <t>Present Value of Cash Flows</t>
  </si>
  <si>
    <t xml:space="preserve">Entreprise Value = </t>
  </si>
  <si>
    <t>Less - Debt O/s</t>
  </si>
  <si>
    <t>Add - Cash Balance</t>
  </si>
  <si>
    <t>Less - Minority Interest</t>
  </si>
  <si>
    <t>Add - Financial Investment</t>
  </si>
  <si>
    <t>Number of Shares O/s</t>
  </si>
  <si>
    <t>Intrinsic Value per Share</t>
  </si>
  <si>
    <t>Conclusion - Buy. Stock is fairly prices with some undervaluation. Overall, the Company is fundamentally strong  and technical charts are also favourable (discussed in report)</t>
  </si>
  <si>
    <t>64.96 / 1908.98</t>
  </si>
  <si>
    <t>WACC</t>
  </si>
  <si>
    <t>upside Potential +15%</t>
  </si>
  <si>
    <t>downside potential -15%</t>
  </si>
  <si>
    <t>LTM FY21</t>
  </si>
  <si>
    <t>FY22-FY25</t>
  </si>
  <si>
    <t>9mFY21 Sales (Actual) + 10% Jump on Q4FY20 Sales = 1472.5+1.1*(1816.10-1301.9)</t>
  </si>
  <si>
    <t>Average of percentage of sales for 5 years</t>
  </si>
  <si>
    <t>FY2020</t>
  </si>
  <si>
    <t>Historical Depriciation &amp; Amortization</t>
  </si>
  <si>
    <t>Projected Depriciation &amp; Amortization</t>
  </si>
  <si>
    <t>Avg percentage of sales for 5 years</t>
  </si>
  <si>
    <t>Long Term Growth Rate</t>
  </si>
  <si>
    <t>Growth Rate for Terminal Value</t>
  </si>
  <si>
    <t>Source - https://ec.europa.eu/commission/presscorner/detail/en/ip_21_5883</t>
  </si>
  <si>
    <t>Assumption for WACC</t>
  </si>
  <si>
    <t>Assumption for Long Term Growth Rate</t>
  </si>
  <si>
    <t>Terminal Growth Rate</t>
  </si>
  <si>
    <t>Sensitivity of Share Price to WACC &amp; TGR</t>
  </si>
  <si>
    <t>Sensitivity of Enterprise Value to WACC &amp; TGR</t>
  </si>
  <si>
    <t>Converted to CHF</t>
  </si>
  <si>
    <t>Market Price (01.12.21)</t>
  </si>
  <si>
    <t>Upside</t>
  </si>
  <si>
    <t>WACC parameters:</t>
  </si>
  <si>
    <t>Market Risk Premium (MRP)</t>
  </si>
  <si>
    <t>Rf Rate</t>
  </si>
  <si>
    <t>Cost of Debt (Cd)</t>
  </si>
  <si>
    <t>Cost of Equity (Ce)</t>
  </si>
  <si>
    <t>Beta</t>
  </si>
  <si>
    <t xml:space="preserve">Terminal Growth </t>
  </si>
  <si>
    <t>Wd</t>
  </si>
  <si>
    <t>We</t>
  </si>
  <si>
    <t>Average raw Beta using peer comprables</t>
  </si>
  <si>
    <t>worked out using DCF</t>
  </si>
  <si>
    <t>TA</t>
  </si>
  <si>
    <t>TL</t>
  </si>
  <si>
    <t>Changes in Inventory</t>
  </si>
  <si>
    <t>Changes in trades and other payable</t>
  </si>
  <si>
    <t>Change in other asset and liabilities</t>
  </si>
  <si>
    <t>TA-TL</t>
  </si>
  <si>
    <t>Op act.</t>
  </si>
  <si>
    <t>Investing Act.</t>
  </si>
  <si>
    <t>` + D&amp;A + Impairment</t>
  </si>
  <si>
    <t>Date</t>
  </si>
  <si>
    <t>SSMI</t>
  </si>
  <si>
    <t>SIGN</t>
  </si>
  <si>
    <t>Column 1</t>
  </si>
  <si>
    <t>Column 2</t>
  </si>
  <si>
    <t>NWC</t>
  </si>
  <si>
    <t>Change in NWC</t>
  </si>
  <si>
    <t>PAT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</si>
</sst>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 * #,##0.00_ ;_ * \-#,##0.00_ ;_ * &quot;-&quot;??_ ;_ @_ 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0.00000%"/>
    <numFmt numFmtId="168" formatCode="_(* #,##0_);_(* \(#,##0\);_(* &quot;-&quot;??_);_(@_)"/>
    <numFmt numFmtId="169" formatCode="0.0000"/>
    <numFmt numFmtId="170" formatCode="0.0%"/>
    <numFmt numFmtId="171" formatCode="0.000%"/>
    <numFmt numFmtId="172" formatCode="0.000"/>
    <numFmt numFmtId="173" formatCode="[$CHF]\ #,##0.00"/>
    <numFmt numFmtId="174" formatCode="_-[$€-2]\ * #,##0.00_-;\-[$€-2]\ * #,##0.00_-;_-[$€-2]\ * &quot;-&quot;??_-;_-@_-"/>
    <numFmt numFmtId="175" formatCode="0.000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u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5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5" fillId="6" borderId="0"/>
    <xf numFmtId="165" fontId="1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/>
    <xf numFmtId="0" fontId="0" fillId="0" borderId="1" xfId="0" applyBorder="1"/>
    <xf numFmtId="0" fontId="4" fillId="0" borderId="1" xfId="0" applyFont="1" applyBorder="1"/>
    <xf numFmtId="43" fontId="0" fillId="0" borderId="0" xfId="1" applyFont="1"/>
    <xf numFmtId="43" fontId="2" fillId="0" borderId="1" xfId="1" applyFont="1" applyBorder="1"/>
    <xf numFmtId="43" fontId="4" fillId="0" borderId="1" xfId="1" applyFont="1" applyBorder="1"/>
    <xf numFmtId="43" fontId="3" fillId="0" borderId="1" xfId="1" applyFont="1" applyBorder="1"/>
    <xf numFmtId="0" fontId="0" fillId="0" borderId="2" xfId="0" applyBorder="1"/>
    <xf numFmtId="43" fontId="5" fillId="0" borderId="2" xfId="1" applyFont="1" applyBorder="1"/>
    <xf numFmtId="0" fontId="4" fillId="0" borderId="0" xfId="0" applyFont="1"/>
    <xf numFmtId="43" fontId="7" fillId="0" borderId="2" xfId="1" applyFont="1" applyBorder="1"/>
    <xf numFmtId="43" fontId="0" fillId="0" borderId="1" xfId="1" applyFont="1" applyBorder="1"/>
    <xf numFmtId="43" fontId="0" fillId="0" borderId="0" xfId="1" applyFont="1" applyFill="1" applyBorder="1"/>
    <xf numFmtId="43" fontId="0" fillId="0" borderId="0" xfId="0" applyNumberFormat="1"/>
    <xf numFmtId="43" fontId="0" fillId="0" borderId="0" xfId="1" applyFont="1" applyBorder="1"/>
    <xf numFmtId="10" fontId="0" fillId="0" borderId="0" xfId="0" applyNumberFormat="1"/>
    <xf numFmtId="43" fontId="2" fillId="0" borderId="0" xfId="1" applyFont="1"/>
    <xf numFmtId="43" fontId="10" fillId="0" borderId="0" xfId="1" applyFont="1" applyBorder="1" applyAlignment="1" applyProtection="1">
      <alignment wrapText="1"/>
      <protection locked="0"/>
    </xf>
    <xf numFmtId="43" fontId="2" fillId="0" borderId="3" xfId="1" applyFont="1" applyBorder="1"/>
    <xf numFmtId="43" fontId="2" fillId="0" borderId="0" xfId="1" applyFont="1" applyAlignment="1"/>
    <xf numFmtId="43" fontId="10" fillId="0" borderId="1" xfId="1" applyFont="1" applyBorder="1" applyAlignment="1" applyProtection="1">
      <protection locked="0"/>
    </xf>
    <xf numFmtId="10" fontId="0" fillId="0" borderId="0" xfId="1" applyNumberFormat="1" applyFont="1"/>
    <xf numFmtId="167" fontId="0" fillId="0" borderId="0" xfId="1" applyNumberFormat="1" applyFont="1"/>
    <xf numFmtId="0" fontId="11" fillId="0" borderId="0" xfId="2"/>
    <xf numFmtId="0" fontId="12" fillId="0" borderId="0" xfId="0" applyFont="1"/>
    <xf numFmtId="43" fontId="1" fillId="0" borderId="0" xfId="1" applyFont="1"/>
    <xf numFmtId="43" fontId="7" fillId="0" borderId="0" xfId="1" applyFont="1" applyFill="1" applyBorder="1"/>
    <xf numFmtId="43" fontId="0" fillId="3" borderId="0" xfId="1" applyFont="1" applyFill="1"/>
    <xf numFmtId="0" fontId="0" fillId="3" borderId="0" xfId="0" applyFill="1"/>
    <xf numFmtId="10" fontId="0" fillId="3" borderId="0" xfId="3" applyNumberFormat="1" applyFont="1" applyFill="1"/>
    <xf numFmtId="10" fontId="0" fillId="0" borderId="0" xfId="3" applyNumberFormat="1" applyFont="1"/>
    <xf numFmtId="10" fontId="0" fillId="3" borderId="0" xfId="0" applyNumberFormat="1" applyFill="1"/>
    <xf numFmtId="43" fontId="13" fillId="0" borderId="0" xfId="1" applyFont="1"/>
    <xf numFmtId="0" fontId="13" fillId="0" borderId="0" xfId="0" applyFont="1"/>
    <xf numFmtId="43" fontId="1" fillId="3" borderId="3" xfId="1" applyFont="1" applyFill="1" applyBorder="1"/>
    <xf numFmtId="10" fontId="1" fillId="3" borderId="3" xfId="3" applyNumberFormat="1" applyFont="1" applyFill="1" applyBorder="1"/>
    <xf numFmtId="43" fontId="1" fillId="3" borderId="0" xfId="1" applyFont="1" applyFill="1" applyBorder="1"/>
    <xf numFmtId="10" fontId="1" fillId="3" borderId="0" xfId="3" applyNumberFormat="1" applyFont="1" applyFill="1" applyBorder="1"/>
    <xf numFmtId="43" fontId="2" fillId="0" borderId="0" xfId="1" applyFont="1" applyFill="1" applyBorder="1"/>
    <xf numFmtId="164" fontId="4" fillId="0" borderId="0" xfId="0" applyNumberFormat="1" applyFont="1"/>
    <xf numFmtId="164" fontId="0" fillId="0" borderId="0" xfId="0" applyNumberFormat="1"/>
    <xf numFmtId="10" fontId="0" fillId="0" borderId="0" xfId="3" applyNumberFormat="1" applyFont="1" applyBorder="1"/>
    <xf numFmtId="0" fontId="14" fillId="4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10" fontId="0" fillId="0" borderId="4" xfId="0" applyNumberFormat="1" applyBorder="1"/>
    <xf numFmtId="0" fontId="0" fillId="0" borderId="4" xfId="0" applyBorder="1" applyAlignment="1">
      <alignment wrapText="1"/>
    </xf>
    <xf numFmtId="2" fontId="0" fillId="0" borderId="4" xfId="0" applyNumberFormat="1" applyBorder="1"/>
    <xf numFmtId="0" fontId="0" fillId="0" borderId="0" xfId="0" applyAlignment="1">
      <alignment horizontal="center"/>
    </xf>
    <xf numFmtId="168" fontId="0" fillId="0" borderId="0" xfId="1" applyNumberFormat="1" applyFont="1" applyAlignment="1">
      <alignment horizontal="center" vertical="center"/>
    </xf>
    <xf numFmtId="10" fontId="0" fillId="0" borderId="4" xfId="0" applyNumberFormat="1" applyBorder="1" applyAlignment="1">
      <alignment wrapText="1"/>
    </xf>
    <xf numFmtId="0" fontId="15" fillId="6" borderId="0" xfId="4" applyAlignment="1">
      <alignment horizontal="center" vertical="center"/>
    </xf>
    <xf numFmtId="0" fontId="15" fillId="6" borderId="0" xfId="4" applyAlignment="1">
      <alignment horizontal="center" wrapText="1"/>
    </xf>
    <xf numFmtId="0" fontId="0" fillId="5" borderId="4" xfId="0" applyFill="1" applyBorder="1" applyAlignment="1">
      <alignment horizontal="center"/>
    </xf>
    <xf numFmtId="2" fontId="0" fillId="5" borderId="4" xfId="0" applyNumberFormat="1" applyFill="1" applyBorder="1" applyAlignment="1">
      <alignment horizontal="center"/>
    </xf>
    <xf numFmtId="0" fontId="0" fillId="5" borderId="0" xfId="0" applyFill="1"/>
    <xf numFmtId="10" fontId="0" fillId="5" borderId="4" xfId="3" applyNumberFormat="1" applyFont="1" applyFill="1" applyBorder="1" applyAlignment="1">
      <alignment horizontal="center"/>
    </xf>
    <xf numFmtId="2" fontId="0" fillId="0" borderId="0" xfId="0" applyNumberFormat="1"/>
    <xf numFmtId="2" fontId="2" fillId="0" borderId="0" xfId="0" applyNumberFormat="1" applyFont="1"/>
    <xf numFmtId="2" fontId="0" fillId="0" borderId="4" xfId="0" applyNumberForma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3" fontId="0" fillId="0" borderId="6" xfId="1" applyFont="1" applyBorder="1"/>
    <xf numFmtId="0" fontId="2" fillId="4" borderId="1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2" fontId="0" fillId="0" borderId="14" xfId="0" applyNumberFormat="1" applyBorder="1"/>
    <xf numFmtId="169" fontId="0" fillId="0" borderId="4" xfId="0" applyNumberFormat="1" applyBorder="1"/>
    <xf numFmtId="2" fontId="0" fillId="0" borderId="15" xfId="0" applyNumberFormat="1" applyBorder="1"/>
    <xf numFmtId="0" fontId="0" fillId="0" borderId="16" xfId="0" applyBorder="1"/>
    <xf numFmtId="2" fontId="2" fillId="7" borderId="0" xfId="0" applyNumberFormat="1" applyFont="1" applyFill="1" applyAlignment="1">
      <alignment horizontal="center"/>
    </xf>
    <xf numFmtId="43" fontId="0" fillId="0" borderId="0" xfId="1" applyFont="1" applyBorder="1" applyAlignment="1">
      <alignment horizontal="center"/>
    </xf>
    <xf numFmtId="0" fontId="0" fillId="0" borderId="9" xfId="0" applyBorder="1" applyAlignment="1">
      <alignment horizontal="center"/>
    </xf>
    <xf numFmtId="10" fontId="0" fillId="0" borderId="0" xfId="3" applyNumberFormat="1" applyFont="1" applyBorder="1" applyAlignment="1">
      <alignment horizontal="center"/>
    </xf>
    <xf numFmtId="43" fontId="0" fillId="0" borderId="9" xfId="1" applyFont="1" applyBorder="1" applyAlignment="1">
      <alignment horizontal="center"/>
    </xf>
    <xf numFmtId="43" fontId="0" fillId="0" borderId="2" xfId="1" applyFont="1" applyBorder="1" applyAlignment="1">
      <alignment horizontal="center"/>
    </xf>
    <xf numFmtId="43" fontId="0" fillId="0" borderId="11" xfId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43" fontId="7" fillId="0" borderId="2" xfId="1" applyFont="1" applyBorder="1" applyAlignment="1">
      <alignment horizontal="center"/>
    </xf>
    <xf numFmtId="9" fontId="0" fillId="0" borderId="0" xfId="0" applyNumberFormat="1"/>
    <xf numFmtId="2" fontId="0" fillId="5" borderId="4" xfId="0" applyNumberFormat="1" applyFill="1" applyBorder="1"/>
    <xf numFmtId="0" fontId="0" fillId="0" borderId="4" xfId="0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9" fontId="2" fillId="4" borderId="4" xfId="0" applyNumberFormat="1" applyFont="1" applyFill="1" applyBorder="1" applyAlignment="1">
      <alignment horizontal="center" vertical="center"/>
    </xf>
    <xf numFmtId="10" fontId="2" fillId="4" borderId="4" xfId="0" applyNumberFormat="1" applyFont="1" applyFill="1" applyBorder="1" applyAlignment="1">
      <alignment horizontal="center" vertical="center"/>
    </xf>
    <xf numFmtId="0" fontId="17" fillId="8" borderId="8" xfId="0" applyFont="1" applyFill="1" applyBorder="1"/>
    <xf numFmtId="0" fontId="17" fillId="8" borderId="9" xfId="0" applyFont="1" applyFill="1" applyBorder="1"/>
    <xf numFmtId="0" fontId="18" fillId="0" borderId="8" xfId="0" applyFont="1" applyBorder="1"/>
    <xf numFmtId="170" fontId="19" fillId="0" borderId="9" xfId="0" applyNumberFormat="1" applyFont="1" applyBorder="1"/>
    <xf numFmtId="170" fontId="0" fillId="0" borderId="9" xfId="0" applyNumberFormat="1" applyBorder="1"/>
    <xf numFmtId="170" fontId="19" fillId="9" borderId="9" xfId="0" applyNumberFormat="1" applyFont="1" applyFill="1" applyBorder="1"/>
    <xf numFmtId="10" fontId="19" fillId="0" borderId="9" xfId="0" applyNumberFormat="1" applyFont="1" applyBorder="1"/>
    <xf numFmtId="0" fontId="0" fillId="9" borderId="9" xfId="0" applyFill="1" applyBorder="1"/>
    <xf numFmtId="43" fontId="18" fillId="0" borderId="8" xfId="1" applyFont="1" applyBorder="1"/>
    <xf numFmtId="171" fontId="19" fillId="0" borderId="9" xfId="0" applyNumberFormat="1" applyFont="1" applyBorder="1"/>
    <xf numFmtId="0" fontId="20" fillId="0" borderId="8" xfId="0" applyFont="1" applyBorder="1"/>
    <xf numFmtId="170" fontId="20" fillId="0" borderId="9" xfId="0" applyNumberFormat="1" applyFont="1" applyBorder="1"/>
    <xf numFmtId="0" fontId="20" fillId="0" borderId="10" xfId="0" applyFont="1" applyBorder="1"/>
    <xf numFmtId="170" fontId="20" fillId="0" borderId="11" xfId="0" applyNumberFormat="1" applyFont="1" applyBorder="1"/>
    <xf numFmtId="172" fontId="2" fillId="7" borderId="0" xfId="0" applyNumberFormat="1" applyFont="1" applyFill="1" applyAlignment="1">
      <alignment horizontal="center"/>
    </xf>
    <xf numFmtId="173" fontId="2" fillId="7" borderId="0" xfId="0" applyNumberFormat="1" applyFont="1" applyFill="1" applyAlignment="1">
      <alignment horizontal="center"/>
    </xf>
    <xf numFmtId="173" fontId="2" fillId="7" borderId="0" xfId="5" applyNumberFormat="1" applyFont="1" applyFill="1" applyAlignment="1">
      <alignment horizontal="center"/>
    </xf>
    <xf numFmtId="174" fontId="2" fillId="7" borderId="0" xfId="0" applyNumberFormat="1" applyFont="1" applyFill="1" applyAlignment="1">
      <alignment horizontal="center"/>
    </xf>
    <xf numFmtId="0" fontId="0" fillId="0" borderId="13" xfId="0" applyBorder="1"/>
    <xf numFmtId="170" fontId="19" fillId="0" borderId="4" xfId="0" applyNumberFormat="1" applyFont="1" applyBorder="1"/>
    <xf numFmtId="170" fontId="0" fillId="0" borderId="4" xfId="0" applyNumberFormat="1" applyBorder="1"/>
    <xf numFmtId="170" fontId="19" fillId="9" borderId="4" xfId="0" applyNumberFormat="1" applyFont="1" applyFill="1" applyBorder="1"/>
    <xf numFmtId="10" fontId="19" fillId="0" borderId="4" xfId="0" applyNumberFormat="1" applyFont="1" applyBorder="1"/>
    <xf numFmtId="0" fontId="0" fillId="9" borderId="4" xfId="0" applyFill="1" applyBorder="1"/>
    <xf numFmtId="0" fontId="0" fillId="0" borderId="17" xfId="0" applyBorder="1" applyAlignment="1">
      <alignment horizontal="center"/>
    </xf>
    <xf numFmtId="0" fontId="18" fillId="0" borderId="4" xfId="0" applyFont="1" applyBorder="1"/>
    <xf numFmtId="43" fontId="18" fillId="0" borderId="4" xfId="1" applyFont="1" applyBorder="1"/>
    <xf numFmtId="0" fontId="20" fillId="0" borderId="4" xfId="0" applyFont="1" applyBorder="1"/>
    <xf numFmtId="1" fontId="0" fillId="0" borderId="0" xfId="0" applyNumberFormat="1"/>
    <xf numFmtId="166" fontId="0" fillId="0" borderId="0" xfId="0" applyNumberFormat="1"/>
    <xf numFmtId="2" fontId="0" fillId="5" borderId="0" xfId="0" applyNumberFormat="1" applyFill="1"/>
    <xf numFmtId="14" fontId="0" fillId="0" borderId="0" xfId="0" applyNumberFormat="1"/>
    <xf numFmtId="0" fontId="13" fillId="0" borderId="18" xfId="0" applyFont="1" applyBorder="1" applyAlignment="1">
      <alignment horizontal="center"/>
    </xf>
    <xf numFmtId="175" fontId="0" fillId="0" borderId="0" xfId="0" applyNumberFormat="1"/>
    <xf numFmtId="175" fontId="0" fillId="0" borderId="0" xfId="3" applyNumberFormat="1" applyFont="1"/>
    <xf numFmtId="0" fontId="9" fillId="2" borderId="0" xfId="0" applyFont="1" applyFill="1" applyAlignment="1">
      <alignment horizontal="center"/>
    </xf>
    <xf numFmtId="0" fontId="0" fillId="0" borderId="3" xfId="0" applyBorder="1" applyAlignment="1">
      <alignment horizontal="center"/>
    </xf>
    <xf numFmtId="0" fontId="16" fillId="8" borderId="5" xfId="0" applyFont="1" applyFill="1" applyBorder="1" applyAlignment="1">
      <alignment horizontal="left"/>
    </xf>
    <xf numFmtId="0" fontId="16" fillId="8" borderId="7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0" fillId="0" borderId="4" xfId="0" applyBorder="1" applyAlignment="1">
      <alignment horizontal="left"/>
    </xf>
    <xf numFmtId="0" fontId="2" fillId="4" borderId="8" xfId="0" applyFont="1" applyFill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0" fontId="2" fillId="4" borderId="5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/>
    </xf>
  </cellXfs>
  <cellStyles count="6">
    <cellStyle name="blp_column_header" xfId="4" xr:uid="{77954B54-B593-49FC-BC8A-F91BA7580284}"/>
    <cellStyle name="Comma" xfId="1" builtinId="3"/>
    <cellStyle name="Currency" xfId="5" builtinId="4"/>
    <cellStyle name="Hyperlink" xfId="2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Liquidity</a:t>
            </a:r>
            <a:r>
              <a:rPr lang="en-IN" baseline="0"/>
              <a:t> Position</a:t>
            </a:r>
            <a:endParaRPr lang="en-IN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Ratios!$A$17</c:f>
              <c:strCache>
                <c:ptCount val="1"/>
                <c:pt idx="0">
                  <c:v>Quick Ratio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Ratios!$B$16:$G$16</c:f>
              <c:strCache>
                <c:ptCount val="6"/>
                <c:pt idx="0">
                  <c:v> FY16 </c:v>
                </c:pt>
                <c:pt idx="1">
                  <c:v> FY17 </c:v>
                </c:pt>
                <c:pt idx="2">
                  <c:v> FY18 </c:v>
                </c:pt>
                <c:pt idx="3">
                  <c:v> FY19 </c:v>
                </c:pt>
                <c:pt idx="4">
                  <c:v> FY20 </c:v>
                </c:pt>
                <c:pt idx="5">
                  <c:v> FY21E </c:v>
                </c:pt>
              </c:strCache>
            </c:strRef>
          </c:cat>
          <c:val>
            <c:numRef>
              <c:f>Ratios!$B$17:$G$17</c:f>
              <c:numCache>
                <c:formatCode>_(* #,##0.00_);_(* \(#,##0.00\);_(* "-"??_);_(@_)</c:formatCode>
                <c:ptCount val="6"/>
                <c:pt idx="0">
                  <c:v>0.79129806824336502</c:v>
                </c:pt>
                <c:pt idx="1">
                  <c:v>0.76251581420567516</c:v>
                </c:pt>
                <c:pt idx="2">
                  <c:v>0.68942875902823375</c:v>
                </c:pt>
                <c:pt idx="3">
                  <c:v>0.78999715828360317</c:v>
                </c:pt>
                <c:pt idx="4">
                  <c:v>0.88571844518852805</c:v>
                </c:pt>
                <c:pt idx="5" formatCode="0.00">
                  <c:v>0.9603764646248143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4F-43DC-9284-4C205D2E317E}"/>
            </c:ext>
          </c:extLst>
        </c:ser>
        <c:ser>
          <c:idx val="1"/>
          <c:order val="1"/>
          <c:tx>
            <c:strRef>
              <c:f>Ratios!$A$18</c:f>
              <c:strCache>
                <c:ptCount val="1"/>
                <c:pt idx="0">
                  <c:v>Current Ratio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Ratios!$B$16:$G$16</c:f>
              <c:strCache>
                <c:ptCount val="6"/>
                <c:pt idx="0">
                  <c:v> FY16 </c:v>
                </c:pt>
                <c:pt idx="1">
                  <c:v> FY17 </c:v>
                </c:pt>
                <c:pt idx="2">
                  <c:v> FY18 </c:v>
                </c:pt>
                <c:pt idx="3">
                  <c:v> FY19 </c:v>
                </c:pt>
                <c:pt idx="4">
                  <c:v> FY20 </c:v>
                </c:pt>
                <c:pt idx="5">
                  <c:v> FY21E </c:v>
                </c:pt>
              </c:strCache>
            </c:strRef>
          </c:cat>
          <c:val>
            <c:numRef>
              <c:f>Ratios!$B$18:$G$18</c:f>
              <c:numCache>
                <c:formatCode>_(* #,##0.00_);_(* \(#,##0.00\);_(* "-"??_);_(@_)</c:formatCode>
                <c:ptCount val="6"/>
                <c:pt idx="0">
                  <c:v>1.0180538003249682</c:v>
                </c:pt>
                <c:pt idx="1">
                  <c:v>0.98373395987710099</c:v>
                </c:pt>
                <c:pt idx="2">
                  <c:v>0.92646093237032168</c:v>
                </c:pt>
                <c:pt idx="3">
                  <c:v>1.027564649048025</c:v>
                </c:pt>
                <c:pt idx="4">
                  <c:v>1.134226233804047</c:v>
                </c:pt>
                <c:pt idx="5" formatCode="0.00">
                  <c:v>1.1763007535196985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4F-43DC-9284-4C205D2E31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96919023"/>
        <c:axId val="496927759"/>
      </c:lineChart>
      <c:catAx>
        <c:axId val="496919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927759"/>
        <c:crosses val="autoZero"/>
        <c:auto val="1"/>
        <c:lblAlgn val="ctr"/>
        <c:lblOffset val="100"/>
        <c:noMultiLvlLbl val="0"/>
      </c:catAx>
      <c:valAx>
        <c:axId val="496927759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496919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Vs Growth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Ratios!$B$34</c:f>
              <c:strCache>
                <c:ptCount val="1"/>
                <c:pt idx="0">
                  <c:v> Sales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Ratios!$A$35:$A$41</c:f>
              <c:numCache>
                <c:formatCode>General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Ratios!$B$35:$B$41</c:f>
              <c:numCache>
                <c:formatCode>_(* #,##0.00_);_(* \(#,##0.00\);_(* "-"??_);_(@_)</c:formatCode>
                <c:ptCount val="7"/>
                <c:pt idx="0">
                  <c:v>1816.1</c:v>
                </c:pt>
                <c:pt idx="1">
                  <c:v>2038.12</c:v>
                </c:pt>
                <c:pt idx="2">
                  <c:v>2170.5977999999996</c:v>
                </c:pt>
                <c:pt idx="3">
                  <c:v>2311.6866569999993</c:v>
                </c:pt>
                <c:pt idx="4">
                  <c:v>2461.9462897049989</c:v>
                </c:pt>
                <c:pt idx="5">
                  <c:v>2621.9727985358236</c:v>
                </c:pt>
                <c:pt idx="6">
                  <c:v>2726.85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CD-4460-AA34-739B1FB81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1181393983"/>
        <c:axId val="1181393567"/>
      </c:barChart>
      <c:lineChart>
        <c:grouping val="standard"/>
        <c:varyColors val="0"/>
        <c:ser>
          <c:idx val="7"/>
          <c:order val="1"/>
          <c:tx>
            <c:strRef>
              <c:f>Ratios!$C$34</c:f>
              <c:strCache>
                <c:ptCount val="1"/>
                <c:pt idx="0">
                  <c:v> Sales Growth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Ratios!$C$35:$C$41</c:f>
              <c:numCache>
                <c:formatCode>0.00%</c:formatCode>
                <c:ptCount val="7"/>
                <c:pt idx="0">
                  <c:v>1.8050339144570771E-2</c:v>
                </c:pt>
                <c:pt idx="1">
                  <c:v>0.12225097736908763</c:v>
                </c:pt>
                <c:pt idx="2">
                  <c:v>6.4999999999999947E-2</c:v>
                </c:pt>
                <c:pt idx="3">
                  <c:v>6.4999999999999947E-2</c:v>
                </c:pt>
                <c:pt idx="4">
                  <c:v>6.4999999999999947E-2</c:v>
                </c:pt>
                <c:pt idx="5">
                  <c:v>6.4999999999999947E-2</c:v>
                </c:pt>
                <c:pt idx="6">
                  <c:v>4.0000000000000036E-2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E5CD-4460-AA34-739B1FB81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675855"/>
        <c:axId val="1183676687"/>
      </c:lineChart>
      <c:catAx>
        <c:axId val="11813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393567"/>
        <c:crosses val="autoZero"/>
        <c:auto val="1"/>
        <c:lblAlgn val="ctr"/>
        <c:lblOffset val="100"/>
        <c:noMultiLvlLbl val="0"/>
      </c:catAx>
      <c:valAx>
        <c:axId val="118139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393983"/>
        <c:crosses val="autoZero"/>
        <c:crossBetween val="between"/>
      </c:valAx>
      <c:valAx>
        <c:axId val="1183676687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3675855"/>
        <c:crosses val="max"/>
        <c:crossBetween val="between"/>
      </c:valAx>
      <c:catAx>
        <c:axId val="1183675855"/>
        <c:scaling>
          <c:orientation val="minMax"/>
        </c:scaling>
        <c:delete val="1"/>
        <c:axPos val="b"/>
        <c:majorTickMark val="none"/>
        <c:minorTickMark val="none"/>
        <c:tickLblPos val="nextTo"/>
        <c:crossAx val="11836766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NWC Vs Change in</a:t>
            </a:r>
            <a:r>
              <a:rPr lang="en-US" baseline="0"/>
              <a:t> NWC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Ratios!$B$44</c:f>
              <c:strCache>
                <c:ptCount val="1"/>
                <c:pt idx="0">
                  <c:v> NWC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Ratios!$A$35:$A$41</c:f>
              <c:numCache>
                <c:formatCode>General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Ratios!$B$45:$B$51</c:f>
              <c:numCache>
                <c:formatCode>_(* #,##0.00_);_(* \(#,##0.00\);_(* "-"??_);_(@_)</c:formatCode>
                <c:ptCount val="7"/>
                <c:pt idx="0">
                  <c:v>-80</c:v>
                </c:pt>
                <c:pt idx="1">
                  <c:v>-69.702081197759867</c:v>
                </c:pt>
                <c:pt idx="2">
                  <c:v>-74.232716475614211</c:v>
                </c:pt>
                <c:pt idx="3">
                  <c:v>-79.057843046529115</c:v>
                </c:pt>
                <c:pt idx="4">
                  <c:v>-84.196602844553581</c:v>
                </c:pt>
                <c:pt idx="5">
                  <c:v>-89.669382029449594</c:v>
                </c:pt>
                <c:pt idx="6">
                  <c:v>-93.256157310627486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3-4CB2-AA0E-8DE92918D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1181393983"/>
        <c:axId val="1181393567"/>
      </c:barChart>
      <c:lineChart>
        <c:grouping val="standard"/>
        <c:varyColors val="0"/>
        <c:ser>
          <c:idx val="7"/>
          <c:order val="1"/>
          <c:tx>
            <c:strRef>
              <c:f>Ratios!$C$44</c:f>
              <c:strCache>
                <c:ptCount val="1"/>
                <c:pt idx="0">
                  <c:v> Change in NWC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Ratios!$A$45:$A$51</c:f>
              <c:numCache>
                <c:formatCode>General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Ratios!$C$45:$C$51</c:f>
              <c:numCache>
                <c:formatCode>_(* #,##0.00_);_(* \(#,##0.00\);_(* "-"??_);_(@_)</c:formatCode>
                <c:ptCount val="7"/>
                <c:pt idx="0">
                  <c:v>47.7</c:v>
                </c:pt>
                <c:pt idx="1">
                  <c:v>10.297918802240133</c:v>
                </c:pt>
                <c:pt idx="2">
                  <c:v>-4.5306352778543442</c:v>
                </c:pt>
                <c:pt idx="3">
                  <c:v>-4.8251265709149038</c:v>
                </c:pt>
                <c:pt idx="4">
                  <c:v>-5.1387597980244664</c:v>
                </c:pt>
                <c:pt idx="5">
                  <c:v>-5.4727791848960123</c:v>
                </c:pt>
                <c:pt idx="6">
                  <c:v>-3.5867752811778928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C3-4CB2-AA0E-8DE92918D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675855"/>
        <c:axId val="1183676687"/>
      </c:lineChart>
      <c:catAx>
        <c:axId val="11813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393567"/>
        <c:crosses val="autoZero"/>
        <c:auto val="1"/>
        <c:lblAlgn val="ctr"/>
        <c:lblOffset val="100"/>
        <c:noMultiLvlLbl val="0"/>
      </c:catAx>
      <c:valAx>
        <c:axId val="118139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1393983"/>
        <c:crosses val="autoZero"/>
        <c:crossBetween val="between"/>
      </c:valAx>
      <c:valAx>
        <c:axId val="1183676687"/>
        <c:scaling>
          <c:orientation val="minMax"/>
        </c:scaling>
        <c:delete val="0"/>
        <c:axPos val="r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3675855"/>
        <c:crosses val="max"/>
        <c:crossBetween val="between"/>
      </c:valAx>
      <c:catAx>
        <c:axId val="118367585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836766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Ratios!$B$53</c:f>
              <c:strCache>
                <c:ptCount val="1"/>
                <c:pt idx="0">
                  <c:v> PAT 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cat>
            <c:numRef>
              <c:f>Ratios!$A$54:$A$60</c:f>
              <c:numCache>
                <c:formatCode>General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Ratios!$B$54:$B$60</c:f>
              <c:numCache>
                <c:formatCode>_(* #,##0.00_);_(* \(#,##0.00\);_(* "-"??_);_(@_)</c:formatCode>
                <c:ptCount val="7"/>
                <c:pt idx="0">
                  <c:v>67.999999999999915</c:v>
                </c:pt>
                <c:pt idx="1">
                  <c:v>117.26999260217494</c:v>
                </c:pt>
                <c:pt idx="2">
                  <c:v>124.89254212131637</c:v>
                </c:pt>
                <c:pt idx="3">
                  <c:v>133.01055735920198</c:v>
                </c:pt>
                <c:pt idx="4">
                  <c:v>141.65624358754997</c:v>
                </c:pt>
                <c:pt idx="5">
                  <c:v>150.86389942074075</c:v>
                </c:pt>
                <c:pt idx="6">
                  <c:v>156.8984553975705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95-4311-9386-01D591FD0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191108607"/>
        <c:axId val="1191109023"/>
      </c:lineChart>
      <c:catAx>
        <c:axId val="119110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109023"/>
        <c:crosses val="autoZero"/>
        <c:auto val="1"/>
        <c:lblAlgn val="ctr"/>
        <c:lblOffset val="100"/>
        <c:noMultiLvlLbl val="0"/>
      </c:catAx>
      <c:valAx>
        <c:axId val="1191109023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10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Free Cash Flow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Ratios!$B$53</c:f>
              <c:strCache>
                <c:ptCount val="1"/>
                <c:pt idx="0">
                  <c:v> PAT 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cat>
            <c:numRef>
              <c:f>Ratios!$A$63:$A$69</c:f>
              <c:numCache>
                <c:formatCode>General</c:formatCode>
                <c:ptCount val="7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</c:numCache>
            </c:numRef>
          </c:cat>
          <c:val>
            <c:numRef>
              <c:f>Ratios!$B$63:$B$69</c:f>
              <c:numCache>
                <c:formatCode>_(* #,##0.00_);_(* \(#,##0.00\);_(* "-"??_);_(@_)</c:formatCode>
                <c:ptCount val="7"/>
                <c:pt idx="0">
                  <c:v>223.19999999999987</c:v>
                </c:pt>
                <c:pt idx="1">
                  <c:v>249.11753728016572</c:v>
                </c:pt>
                <c:pt idx="2">
                  <c:v>280.80809600561662</c:v>
                </c:pt>
                <c:pt idx="3">
                  <c:v>299.06062224598179</c:v>
                </c:pt>
                <c:pt idx="4">
                  <c:v>318.49956269197048</c:v>
                </c:pt>
                <c:pt idx="5">
                  <c:v>339.20203426694849</c:v>
                </c:pt>
                <c:pt idx="6">
                  <c:v>350.66520056651274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5D-4248-BF58-460AC33FC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191108607"/>
        <c:axId val="1191109023"/>
      </c:lineChart>
      <c:catAx>
        <c:axId val="119110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109023"/>
        <c:crosses val="autoZero"/>
        <c:auto val="1"/>
        <c:lblAlgn val="ctr"/>
        <c:lblOffset val="100"/>
        <c:noMultiLvlLbl val="0"/>
      </c:catAx>
      <c:valAx>
        <c:axId val="1191109023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10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685800</xdr:colOff>
      <xdr:row>6</xdr:row>
      <xdr:rowOff>64770</xdr:rowOff>
    </xdr:from>
    <xdr:to>
      <xdr:col>16</xdr:col>
      <xdr:colOff>83820</xdr:colOff>
      <xdr:row>21</xdr:row>
      <xdr:rowOff>49530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01B551-E70C-416A-A121-C3A09A388B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609600</xdr:colOff>
      <xdr:row>23</xdr:row>
      <xdr:rowOff>57150</xdr:rowOff>
    </xdr:from>
    <xdr:to>
      <xdr:col>16</xdr:col>
      <xdr:colOff>7620</xdr:colOff>
      <xdr:row>38</xdr:row>
      <xdr:rowOff>41910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47C1D1-8EEE-4371-8DD3-93493F574A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525780</xdr:colOff>
      <xdr:row>39</xdr:row>
      <xdr:rowOff>114300</xdr:rowOff>
    </xdr:from>
    <xdr:to>
      <xdr:col>15</xdr:col>
      <xdr:colOff>533400</xdr:colOff>
      <xdr:row>54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A64361B-02BF-499F-98F8-18D970AFB2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55</xdr:row>
      <xdr:rowOff>49530</xdr:rowOff>
    </xdr:from>
    <xdr:to>
      <xdr:col>15</xdr:col>
      <xdr:colOff>411480</xdr:colOff>
      <xdr:row>70</xdr:row>
      <xdr:rowOff>49530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ECB2DCC-75DC-41A8-82A0-FD6E05A450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22860</xdr:colOff>
      <xdr:row>62</xdr:row>
      <xdr:rowOff>15240</xdr:rowOff>
    </xdr:from>
    <xdr:to>
      <xdr:col>8</xdr:col>
      <xdr:colOff>342900</xdr:colOff>
      <xdr:row>77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3C55EAA-2EB1-41AC-8C96-CFA9331413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%20Omnia/2021%20Apr%20to%20Dec/11%20November/622%20-%20Costco%20Dissert%20-%20Alpha/Costco%20Financial%20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STORICAL IS"/>
      <sheetName val="HISTORICAL BS"/>
      <sheetName val="HISTORICAL Work Cap"/>
      <sheetName val="Assumptions"/>
      <sheetName val="PROJ IS"/>
      <sheetName val="PROJ Work Cap"/>
      <sheetName val="WACC"/>
      <sheetName val="DCF Calculation"/>
      <sheetName val="Graphs"/>
    </sheetNames>
    <sheetDataSet>
      <sheetData sheetId="0"/>
      <sheetData sheetId="1">
        <row r="4">
          <cell r="H4" t="str">
            <v>FY 2016</v>
          </cell>
          <cell r="I4" t="str">
            <v>FY 2017</v>
          </cell>
          <cell r="J4" t="str">
            <v>FY 2018</v>
          </cell>
          <cell r="K4" t="str">
            <v>FY 2019</v>
          </cell>
          <cell r="L4" t="str">
            <v>FY 2020</v>
          </cell>
          <cell r="M4" t="str">
            <v>FY 2021</v>
          </cell>
        </row>
      </sheetData>
      <sheetData sheetId="2"/>
      <sheetData sheetId="3"/>
      <sheetData sheetId="4">
        <row r="5">
          <cell r="C5" t="str">
            <v>FY 2021</v>
          </cell>
          <cell r="D5" t="str">
            <v>FY 2022</v>
          </cell>
          <cell r="E5" t="str">
            <v>FY 2023</v>
          </cell>
          <cell r="F5" t="str">
            <v>FY 2024</v>
          </cell>
          <cell r="G5" t="str">
            <v>FY 2025</v>
          </cell>
          <cell r="H5" t="str">
            <v>FY 2026</v>
          </cell>
          <cell r="I5" t="str">
            <v>FY 2027</v>
          </cell>
          <cell r="J5" t="str">
            <v>FY 2028</v>
          </cell>
          <cell r="K5" t="str">
            <v>FY 2029</v>
          </cell>
          <cell r="L5" t="str">
            <v>FY 2030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tradingview.com/symbols/OTC-SCBGF/financials/statistics-and-ratios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DB83-AF7E-49CF-931A-71C5239DD529}">
  <sheetPr>
    <tabColor rgb="FFFF0000"/>
  </sheetPr>
  <dimension ref="A1:M38"/>
  <sheetViews>
    <sheetView topLeftCell="A2" zoomScale="70" zoomScaleNormal="70" workbookViewId="0">
      <selection activeCell="G38" sqref="G38"/>
    </sheetView>
  </sheetViews>
  <sheetFormatPr defaultColWidth="0" defaultRowHeight="14.4" x14ac:dyDescent="0.3"/>
  <cols>
    <col min="1" max="1" width="51.109375" style="15" bestFit="1" customWidth="1"/>
    <col min="2" max="6" width="10.33203125" style="4" bestFit="1" customWidth="1"/>
    <col min="7" max="7" width="10.6640625" style="4" customWidth="1"/>
    <col min="8" max="8" width="19.77734375" customWidth="1"/>
    <col min="9" max="9" width="19.88671875" customWidth="1"/>
    <col min="10" max="10" width="9.5546875" hidden="1" customWidth="1"/>
    <col min="11" max="13" width="10.109375" hidden="1" customWidth="1"/>
    <col min="14" max="16384" width="8.88671875" hidden="1"/>
  </cols>
  <sheetData>
    <row r="1" spans="1:9" ht="25.8" x14ac:dyDescent="0.5">
      <c r="A1" s="131" t="s">
        <v>45</v>
      </c>
      <c r="B1" s="131"/>
      <c r="C1" s="131"/>
      <c r="D1" s="131"/>
      <c r="E1" s="131"/>
      <c r="F1" s="131"/>
      <c r="H1">
        <v>1472</v>
      </c>
      <c r="I1" s="41">
        <f>F4/4</f>
        <v>454.02499999999998</v>
      </c>
    </row>
    <row r="3" spans="1:9" ht="21.6" thickBot="1" x14ac:dyDescent="0.45">
      <c r="A3" s="9" t="s">
        <v>101</v>
      </c>
      <c r="B3" s="11" t="s">
        <v>31</v>
      </c>
      <c r="C3" s="11" t="s">
        <v>32</v>
      </c>
      <c r="D3" s="11" t="s">
        <v>33</v>
      </c>
      <c r="E3" s="11" t="s">
        <v>34</v>
      </c>
      <c r="F3" s="11" t="s">
        <v>35</v>
      </c>
      <c r="G3" s="11" t="s">
        <v>247</v>
      </c>
      <c r="H3" s="27" t="s">
        <v>141</v>
      </c>
      <c r="I3" s="27" t="s">
        <v>140</v>
      </c>
    </row>
    <row r="4" spans="1:9" x14ac:dyDescent="0.3">
      <c r="A4" s="4" t="s">
        <v>46</v>
      </c>
      <c r="B4" s="4">
        <v>1723.8</v>
      </c>
      <c r="C4" s="4">
        <v>1664.1</v>
      </c>
      <c r="D4" s="4">
        <v>1676.1</v>
      </c>
      <c r="E4" s="4">
        <v>1783.9</v>
      </c>
      <c r="F4" s="4">
        <v>1816.1</v>
      </c>
      <c r="G4" s="4">
        <v>1921.9</v>
      </c>
      <c r="H4" t="s">
        <v>142</v>
      </c>
      <c r="I4" s="31">
        <f>(F4/B4)^(1/4)-1</f>
        <v>1.3125439311342468E-2</v>
      </c>
    </row>
    <row r="5" spans="1:9" s="29" customFormat="1" x14ac:dyDescent="0.3">
      <c r="A5" s="28" t="s">
        <v>144</v>
      </c>
      <c r="B5" s="28"/>
      <c r="C5" s="30">
        <f>C4/B4-1</f>
        <v>-3.4632788026453198E-2</v>
      </c>
      <c r="D5" s="30">
        <f t="shared" ref="D5:F5" si="0">D4/C4-1</f>
        <v>7.2111051018568517E-3</v>
      </c>
      <c r="E5" s="30">
        <f t="shared" si="0"/>
        <v>6.4315971600739985E-2</v>
      </c>
      <c r="F5" s="30">
        <f t="shared" si="0"/>
        <v>1.8050339144570771E-2</v>
      </c>
      <c r="G5" s="30">
        <v>0.1401</v>
      </c>
      <c r="H5" s="29" t="s">
        <v>143</v>
      </c>
      <c r="I5" s="32">
        <f>AVERAGE(C5:F5)</f>
        <v>1.3736156955178602E-2</v>
      </c>
    </row>
    <row r="6" spans="1:9" x14ac:dyDescent="0.3">
      <c r="A6" s="4" t="s">
        <v>47</v>
      </c>
      <c r="B6" s="4">
        <v>-1328.7</v>
      </c>
      <c r="C6" s="4">
        <v>-1275.7</v>
      </c>
      <c r="D6" s="4">
        <v>-1300.3</v>
      </c>
      <c r="E6" s="4">
        <v>-1370.1</v>
      </c>
      <c r="F6" s="4">
        <v>-1422.2</v>
      </c>
      <c r="G6" s="4">
        <v>1472</v>
      </c>
      <c r="H6" t="s">
        <v>146</v>
      </c>
      <c r="I6" s="16">
        <f>F7</f>
        <v>0.78310665712240524</v>
      </c>
    </row>
    <row r="7" spans="1:9" s="29" customFormat="1" x14ac:dyDescent="0.3">
      <c r="A7" s="28" t="s">
        <v>145</v>
      </c>
      <c r="B7" s="30">
        <f>-B6/B4</f>
        <v>0.77079707622694049</v>
      </c>
      <c r="C7" s="30">
        <f t="shared" ref="C7:F7" si="1">-C6/C4</f>
        <v>0.76660056486989969</v>
      </c>
      <c r="D7" s="30">
        <f t="shared" si="1"/>
        <v>0.77578903406717981</v>
      </c>
      <c r="E7" s="30">
        <f t="shared" si="1"/>
        <v>0.76803632490610452</v>
      </c>
      <c r="F7" s="30">
        <f t="shared" si="1"/>
        <v>0.78310665712240524</v>
      </c>
      <c r="G7" s="30">
        <f>G6/G4</f>
        <v>0.76590873614652166</v>
      </c>
      <c r="H7" s="29" t="s">
        <v>147</v>
      </c>
      <c r="I7" s="32">
        <f>AVERAGE(B7:F7)</f>
        <v>0.7728659314385059</v>
      </c>
    </row>
    <row r="8" spans="1:9" x14ac:dyDescent="0.3">
      <c r="A8" s="21" t="s">
        <v>48</v>
      </c>
      <c r="B8" s="5">
        <f>+B4+B6</f>
        <v>395.09999999999991</v>
      </c>
      <c r="C8" s="5">
        <f t="shared" ref="C8:F8" si="2">+C4+C6</f>
        <v>388.39999999999986</v>
      </c>
      <c r="D8" s="5">
        <f t="shared" si="2"/>
        <v>375.79999999999995</v>
      </c>
      <c r="E8" s="5">
        <f t="shared" si="2"/>
        <v>413.80000000000018</v>
      </c>
      <c r="F8" s="5">
        <f t="shared" si="2"/>
        <v>393.89999999999986</v>
      </c>
      <c r="G8" s="4">
        <v>449.8</v>
      </c>
    </row>
    <row r="9" spans="1:9" x14ac:dyDescent="0.3">
      <c r="A9" s="4" t="s">
        <v>49</v>
      </c>
      <c r="B9" s="4">
        <v>34.200000000000003</v>
      </c>
      <c r="C9" s="4">
        <v>11.7</v>
      </c>
      <c r="D9" s="4">
        <v>8.5</v>
      </c>
      <c r="E9" s="4">
        <v>20.399999999999999</v>
      </c>
      <c r="F9" s="4">
        <v>29.3</v>
      </c>
      <c r="G9" s="4">
        <v>48.2</v>
      </c>
    </row>
    <row r="10" spans="1:9" x14ac:dyDescent="0.3">
      <c r="A10" s="4" t="s">
        <v>50</v>
      </c>
      <c r="B10" s="4">
        <v>-64.8</v>
      </c>
      <c r="C10" s="4">
        <v>-68.7</v>
      </c>
      <c r="D10" s="4">
        <v>-64.099999999999994</v>
      </c>
      <c r="E10" s="4">
        <v>-75.099999999999994</v>
      </c>
      <c r="F10" s="4">
        <v>-75.099999999999994</v>
      </c>
    </row>
    <row r="11" spans="1:9" x14ac:dyDescent="0.3">
      <c r="A11" s="4" t="s">
        <v>51</v>
      </c>
      <c r="B11" s="4">
        <v>-174.8</v>
      </c>
      <c r="C11" s="4">
        <v>-176.6</v>
      </c>
      <c r="D11" s="4">
        <v>-155.80000000000001</v>
      </c>
      <c r="E11" s="4">
        <v>-172.6</v>
      </c>
      <c r="F11" s="4">
        <v>-181.1</v>
      </c>
      <c r="G11" s="4">
        <v>-261.39999999999998</v>
      </c>
    </row>
    <row r="12" spans="1:9" x14ac:dyDescent="0.3">
      <c r="A12" s="4" t="s">
        <v>52</v>
      </c>
      <c r="B12" s="4">
        <v>-51.1</v>
      </c>
      <c r="C12" s="4">
        <v>-5.6</v>
      </c>
      <c r="D12" s="4">
        <v>-49.9</v>
      </c>
      <c r="E12" s="4">
        <v>-9.3000000000000007</v>
      </c>
      <c r="F12" s="4">
        <v>-12.4</v>
      </c>
      <c r="G12" s="4">
        <v>-11.3</v>
      </c>
    </row>
    <row r="13" spans="1:9" x14ac:dyDescent="0.3">
      <c r="A13" s="4" t="s">
        <v>53</v>
      </c>
      <c r="B13" s="4">
        <v>21.4</v>
      </c>
      <c r="C13" s="4">
        <v>18.8</v>
      </c>
      <c r="D13" s="4">
        <v>8.9</v>
      </c>
      <c r="E13" s="4">
        <v>15.4</v>
      </c>
      <c r="F13" s="4">
        <v>17.399999999999999</v>
      </c>
    </row>
    <row r="14" spans="1:9" s="34" customFormat="1" x14ac:dyDescent="0.3">
      <c r="A14" s="33" t="s">
        <v>148</v>
      </c>
      <c r="B14" s="33">
        <f>SUM(B9:B13)</f>
        <v>-235.1</v>
      </c>
      <c r="C14" s="33">
        <f t="shared" ref="C14:G14" si="3">SUM(C9:C13)</f>
        <v>-220.39999999999998</v>
      </c>
      <c r="D14" s="33">
        <f t="shared" si="3"/>
        <v>-252.4</v>
      </c>
      <c r="E14" s="33">
        <f t="shared" si="3"/>
        <v>-221.2</v>
      </c>
      <c r="F14" s="33">
        <f t="shared" si="3"/>
        <v>-221.89999999999998</v>
      </c>
      <c r="G14" s="33">
        <f t="shared" si="3"/>
        <v>-224.5</v>
      </c>
      <c r="H14" t="s">
        <v>146</v>
      </c>
      <c r="I14" s="16">
        <f>F15</f>
        <v>0.12218490171246076</v>
      </c>
    </row>
    <row r="15" spans="1:9" s="29" customFormat="1" x14ac:dyDescent="0.3">
      <c r="A15" s="28" t="s">
        <v>145</v>
      </c>
      <c r="B15" s="30">
        <f>-B14/B4</f>
        <v>0.13638473140735585</v>
      </c>
      <c r="C15" s="30">
        <f t="shared" ref="C15:G15" si="4">-C14/C4</f>
        <v>0.1324439637041043</v>
      </c>
      <c r="D15" s="30">
        <f t="shared" si="4"/>
        <v>0.15058767376648172</v>
      </c>
      <c r="E15" s="30">
        <f t="shared" si="4"/>
        <v>0.12399798194966084</v>
      </c>
      <c r="F15" s="30">
        <f t="shared" si="4"/>
        <v>0.12218490171246076</v>
      </c>
      <c r="G15" s="30">
        <f t="shared" si="4"/>
        <v>0.1168114886310422</v>
      </c>
      <c r="H15" s="29" t="s">
        <v>147</v>
      </c>
      <c r="I15" s="32">
        <f>AVERAGE(B15:F15)</f>
        <v>0.1331198505080127</v>
      </c>
    </row>
    <row r="16" spans="1:9" s="1" customFormat="1" x14ac:dyDescent="0.3">
      <c r="A16" s="5" t="s">
        <v>54</v>
      </c>
      <c r="B16" s="5">
        <f>+B8+B9+B10+B11+B12+B13</f>
        <v>159.99999999999989</v>
      </c>
      <c r="C16" s="5">
        <f t="shared" ref="C16:F16" si="5">+C8+C9+C10+C11+C12+C13</f>
        <v>167.99999999999989</v>
      </c>
      <c r="D16" s="5">
        <f t="shared" si="5"/>
        <v>123.39999999999992</v>
      </c>
      <c r="E16" s="5">
        <f t="shared" si="5"/>
        <v>192.60000000000014</v>
      </c>
      <c r="F16" s="5">
        <f t="shared" si="5"/>
        <v>171.99999999999991</v>
      </c>
      <c r="G16" s="17">
        <f>G8+G9+G11+G12</f>
        <v>225.3</v>
      </c>
    </row>
    <row r="17" spans="1:13" x14ac:dyDescent="0.3">
      <c r="A17" s="4" t="s">
        <v>55</v>
      </c>
      <c r="B17" s="4">
        <v>13.8</v>
      </c>
      <c r="C17" s="4">
        <v>10.199999999999999</v>
      </c>
      <c r="D17" s="4">
        <v>67.3</v>
      </c>
      <c r="E17" s="4">
        <v>12</v>
      </c>
      <c r="F17" s="4">
        <v>2.6</v>
      </c>
      <c r="G17" s="4">
        <v>2.8</v>
      </c>
    </row>
    <row r="18" spans="1:13" x14ac:dyDescent="0.3">
      <c r="A18" s="4" t="s">
        <v>56</v>
      </c>
      <c r="B18" s="4">
        <v>-178.8</v>
      </c>
      <c r="C18" s="4">
        <v>-248.9</v>
      </c>
      <c r="D18" s="4">
        <v>-273.7</v>
      </c>
      <c r="E18" s="4">
        <v>-56.6</v>
      </c>
      <c r="F18" s="4">
        <v>-83.6</v>
      </c>
      <c r="G18" s="4">
        <v>-35.5</v>
      </c>
    </row>
    <row r="19" spans="1:13" x14ac:dyDescent="0.3">
      <c r="A19" s="5" t="s">
        <v>57</v>
      </c>
      <c r="B19" s="5">
        <f>+B17+B18</f>
        <v>-165</v>
      </c>
      <c r="C19" s="5">
        <f t="shared" ref="C19:F19" si="6">+C17+C18</f>
        <v>-238.70000000000002</v>
      </c>
      <c r="D19" s="5">
        <f t="shared" si="6"/>
        <v>-206.39999999999998</v>
      </c>
      <c r="E19" s="5">
        <f t="shared" si="6"/>
        <v>-44.6</v>
      </c>
      <c r="F19" s="5">
        <f t="shared" si="6"/>
        <v>-81</v>
      </c>
      <c r="G19" s="4">
        <f>G17+G18</f>
        <v>-32.700000000000003</v>
      </c>
      <c r="H19" t="s">
        <v>146</v>
      </c>
      <c r="I19" s="16">
        <f>G20</f>
        <v>1.7014412820646235E-2</v>
      </c>
    </row>
    <row r="20" spans="1:13" s="29" customFormat="1" x14ac:dyDescent="0.3">
      <c r="A20" s="35" t="s">
        <v>149</v>
      </c>
      <c r="B20" s="36">
        <f>-B19/B4</f>
        <v>9.5718760877131923E-2</v>
      </c>
      <c r="C20" s="36">
        <f t="shared" ref="C20:G20" si="7">-C19/C4</f>
        <v>0.14344089898443604</v>
      </c>
      <c r="D20" s="36">
        <f t="shared" si="7"/>
        <v>0.1231430105602291</v>
      </c>
      <c r="E20" s="36">
        <f t="shared" si="7"/>
        <v>2.5001401423846627E-2</v>
      </c>
      <c r="F20" s="36">
        <f t="shared" si="7"/>
        <v>4.4601068223115471E-2</v>
      </c>
      <c r="G20" s="36">
        <f t="shared" si="7"/>
        <v>1.7014412820646235E-2</v>
      </c>
      <c r="H20" s="29" t="s">
        <v>147</v>
      </c>
      <c r="I20" s="32">
        <f>AVERAGE(B20:F20)</f>
        <v>8.6381028013751832E-2</v>
      </c>
    </row>
    <row r="21" spans="1:13" x14ac:dyDescent="0.3">
      <c r="A21" s="19" t="s">
        <v>102</v>
      </c>
      <c r="B21" s="19">
        <f>+B16+B19</f>
        <v>-5.0000000000001137</v>
      </c>
      <c r="C21" s="19">
        <f t="shared" ref="C21:F21" si="8">+C16+C19</f>
        <v>-70.700000000000131</v>
      </c>
      <c r="D21" s="19">
        <f t="shared" si="8"/>
        <v>-83.000000000000057</v>
      </c>
      <c r="E21" s="19">
        <f t="shared" si="8"/>
        <v>148.00000000000014</v>
      </c>
      <c r="F21" s="19">
        <f t="shared" si="8"/>
        <v>90.999999999999915</v>
      </c>
      <c r="G21" s="4">
        <f>G16+G19</f>
        <v>192.60000000000002</v>
      </c>
      <c r="H21" s="22"/>
      <c r="I21" s="4"/>
      <c r="J21" s="23"/>
      <c r="K21" s="23"/>
      <c r="L21" s="23"/>
      <c r="M21" s="23"/>
    </row>
    <row r="22" spans="1:13" x14ac:dyDescent="0.3">
      <c r="A22" s="4" t="s">
        <v>58</v>
      </c>
      <c r="B22" s="4">
        <v>-34.9</v>
      </c>
      <c r="C22" s="4">
        <v>-26.2</v>
      </c>
      <c r="D22" s="4">
        <v>-0.9</v>
      </c>
      <c r="E22" s="4">
        <v>-41.1</v>
      </c>
      <c r="F22" s="4">
        <v>-23</v>
      </c>
      <c r="G22" s="4">
        <v>-42.6</v>
      </c>
      <c r="H22" t="s">
        <v>146</v>
      </c>
      <c r="I22" s="16">
        <f>F23</f>
        <v>0.25274725274725296</v>
      </c>
    </row>
    <row r="23" spans="1:13" x14ac:dyDescent="0.3">
      <c r="A23" s="4" t="s">
        <v>150</v>
      </c>
      <c r="B23" s="4">
        <v>0</v>
      </c>
      <c r="C23" s="4">
        <v>0</v>
      </c>
      <c r="D23" s="4">
        <v>0</v>
      </c>
      <c r="E23" s="31">
        <f>-E22/E21</f>
        <v>0.27770270270270242</v>
      </c>
      <c r="F23" s="31">
        <f>-F22/F21</f>
        <v>0.25274725274725296</v>
      </c>
      <c r="G23" s="31">
        <f>-G22/G21</f>
        <v>0.22118380062305293</v>
      </c>
      <c r="H23" s="29" t="s">
        <v>147</v>
      </c>
      <c r="I23" s="32">
        <f>AVERAGE(E23:F23)</f>
        <v>0.26522497772497766</v>
      </c>
    </row>
    <row r="24" spans="1:13" x14ac:dyDescent="0.3">
      <c r="A24" s="5" t="s">
        <v>113</v>
      </c>
      <c r="B24" s="5">
        <f>+B21+B22</f>
        <v>-39.900000000000112</v>
      </c>
      <c r="C24" s="5">
        <f t="shared" ref="C24:F24" si="9">+C21+C22</f>
        <v>-96.900000000000134</v>
      </c>
      <c r="D24" s="5">
        <f t="shared" si="9"/>
        <v>-83.900000000000063</v>
      </c>
      <c r="E24" s="5">
        <f t="shared" si="9"/>
        <v>106.90000000000015</v>
      </c>
      <c r="F24" s="5">
        <f t="shared" si="9"/>
        <v>67.999999999999915</v>
      </c>
      <c r="G24" s="4">
        <f>G21+G22</f>
        <v>150.00000000000003</v>
      </c>
      <c r="H24" t="s">
        <v>146</v>
      </c>
      <c r="I24" s="16">
        <f>F25</f>
        <v>3.7442872088541336E-2</v>
      </c>
    </row>
    <row r="25" spans="1:13" s="29" customFormat="1" x14ac:dyDescent="0.3">
      <c r="A25" s="37" t="s">
        <v>151</v>
      </c>
      <c r="B25" s="37" t="s">
        <v>152</v>
      </c>
      <c r="C25" s="37" t="s">
        <v>152</v>
      </c>
      <c r="D25" s="37" t="s">
        <v>152</v>
      </c>
      <c r="E25" s="38">
        <f>E24/E4</f>
        <v>5.9924883681820806E-2</v>
      </c>
      <c r="F25" s="38">
        <f>F24/F4</f>
        <v>3.7442872088541336E-2</v>
      </c>
      <c r="G25" s="38">
        <f>G24/G4</f>
        <v>7.8047765232322194E-2</v>
      </c>
      <c r="H25" s="29" t="s">
        <v>147</v>
      </c>
      <c r="I25" s="32">
        <f>AVERAGE(E25:F25)</f>
        <v>4.8683877885181068E-2</v>
      </c>
    </row>
    <row r="26" spans="1:13" x14ac:dyDescent="0.3">
      <c r="A26" s="17" t="s">
        <v>59</v>
      </c>
    </row>
    <row r="27" spans="1:13" x14ac:dyDescent="0.3">
      <c r="A27" s="17" t="s">
        <v>60</v>
      </c>
    </row>
    <row r="28" spans="1:13" x14ac:dyDescent="0.3">
      <c r="A28" s="4" t="s">
        <v>61</v>
      </c>
    </row>
    <row r="29" spans="1:13" x14ac:dyDescent="0.3">
      <c r="A29" s="4" t="s">
        <v>62</v>
      </c>
      <c r="B29" s="4">
        <v>65.400000000000006</v>
      </c>
      <c r="C29" s="4">
        <v>7.3</v>
      </c>
      <c r="D29" s="4">
        <v>-60.7</v>
      </c>
      <c r="E29" s="4">
        <v>60</v>
      </c>
      <c r="F29" s="4">
        <v>-138.6</v>
      </c>
    </row>
    <row r="30" spans="1:13" x14ac:dyDescent="0.3">
      <c r="A30" s="4" t="s">
        <v>103</v>
      </c>
      <c r="B30" s="4">
        <v>0</v>
      </c>
      <c r="C30" s="4">
        <v>0</v>
      </c>
      <c r="D30" s="4">
        <v>0.1</v>
      </c>
      <c r="E30" s="4">
        <v>0</v>
      </c>
    </row>
    <row r="31" spans="1:13" x14ac:dyDescent="0.3">
      <c r="A31" s="17" t="s">
        <v>63</v>
      </c>
    </row>
    <row r="32" spans="1:13" x14ac:dyDescent="0.3">
      <c r="A32" s="4" t="s">
        <v>64</v>
      </c>
      <c r="B32" s="4">
        <v>6.6</v>
      </c>
      <c r="C32" s="4">
        <v>25.4</v>
      </c>
      <c r="D32" s="4">
        <v>-2.1</v>
      </c>
      <c r="E32" s="4">
        <v>24</v>
      </c>
      <c r="F32" s="4">
        <v>7.8</v>
      </c>
    </row>
    <row r="33" spans="1:6" x14ac:dyDescent="0.3">
      <c r="A33" s="17" t="s">
        <v>65</v>
      </c>
      <c r="B33" s="17">
        <f>+B29+B30+B32</f>
        <v>72</v>
      </c>
      <c r="C33" s="17">
        <f t="shared" ref="C33:F33" si="10">+C29+C30+C32</f>
        <v>32.699999999999996</v>
      </c>
      <c r="D33" s="17">
        <f t="shared" si="10"/>
        <v>-62.7</v>
      </c>
      <c r="E33" s="17">
        <f t="shared" si="10"/>
        <v>84</v>
      </c>
      <c r="F33" s="17">
        <f t="shared" si="10"/>
        <v>-130.79999999999998</v>
      </c>
    </row>
    <row r="34" spans="1:6" ht="15.6" x14ac:dyDescent="0.3">
      <c r="A34" s="5" t="s">
        <v>66</v>
      </c>
      <c r="B34" s="7">
        <f>+B24+B33</f>
        <v>32.099999999999888</v>
      </c>
      <c r="C34" s="7">
        <f t="shared" ref="C34:F34" si="11">+C24+C33</f>
        <v>-64.200000000000131</v>
      </c>
      <c r="D34" s="7">
        <f t="shared" si="11"/>
        <v>-146.60000000000008</v>
      </c>
      <c r="E34" s="7">
        <f t="shared" si="11"/>
        <v>190.90000000000015</v>
      </c>
      <c r="F34" s="7">
        <f t="shared" si="11"/>
        <v>-62.800000000000068</v>
      </c>
    </row>
    <row r="37" spans="1:6" x14ac:dyDescent="0.3">
      <c r="C37" s="4">
        <v>-99</v>
      </c>
      <c r="D37" s="4">
        <v>-60.800000000000004</v>
      </c>
      <c r="E37" s="4">
        <v>-119.5</v>
      </c>
      <c r="F37" s="4">
        <v>-35.900000000000006</v>
      </c>
    </row>
    <row r="38" spans="1:6" x14ac:dyDescent="0.3">
      <c r="C38" s="4">
        <f>C37/C4</f>
        <v>-5.9491617090319096E-2</v>
      </c>
      <c r="D38" s="4">
        <f t="shared" ref="D38:F38" si="12">D37/D4</f>
        <v>-3.6274685281307804E-2</v>
      </c>
      <c r="E38" s="4">
        <f t="shared" si="12"/>
        <v>-6.6988059868826721E-2</v>
      </c>
      <c r="F38" s="4">
        <f t="shared" si="12"/>
        <v>-1.9767633940862291E-2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4A6F5-943A-4434-8A93-139F5F5F52AF}">
  <sheetPr>
    <tabColor rgb="FF92D050"/>
  </sheetPr>
  <dimension ref="B1:M70"/>
  <sheetViews>
    <sheetView topLeftCell="A30" workbookViewId="0">
      <selection activeCell="D40" sqref="D40"/>
    </sheetView>
  </sheetViews>
  <sheetFormatPr defaultRowHeight="14.4" x14ac:dyDescent="0.3"/>
  <cols>
    <col min="2" max="2" width="6.88671875" customWidth="1"/>
    <col min="3" max="3" width="9.109375" style="88" customWidth="1"/>
    <col min="4" max="4" width="9.44140625" customWidth="1"/>
    <col min="5" max="5" width="11.44140625" customWidth="1"/>
    <col min="6" max="12" width="9.5546875" bestFit="1" customWidth="1"/>
    <col min="13" max="13" width="12.5546875" bestFit="1" customWidth="1"/>
    <col min="14" max="14" width="9.5546875" bestFit="1" customWidth="1"/>
    <col min="16" max="16" width="10.5546875" bestFit="1" customWidth="1"/>
  </cols>
  <sheetData>
    <row r="1" spans="2:13" hidden="1" x14ac:dyDescent="0.3">
      <c r="B1" s="140" t="s">
        <v>226</v>
      </c>
      <c r="C1" s="68">
        <v>0</v>
      </c>
      <c r="D1" s="69">
        <v>1</v>
      </c>
      <c r="E1" s="69">
        <v>2</v>
      </c>
      <c r="F1" s="69">
        <v>3</v>
      </c>
      <c r="G1" s="69">
        <v>4</v>
      </c>
      <c r="H1" s="69">
        <v>5</v>
      </c>
      <c r="I1" s="69">
        <v>6</v>
      </c>
      <c r="J1" s="69">
        <v>7</v>
      </c>
      <c r="K1" s="69">
        <v>8</v>
      </c>
      <c r="L1" s="69">
        <v>9</v>
      </c>
      <c r="M1" s="69">
        <v>10</v>
      </c>
    </row>
    <row r="2" spans="2:13" hidden="1" x14ac:dyDescent="0.3">
      <c r="B2" s="141"/>
      <c r="C2" s="70" t="s">
        <v>251</v>
      </c>
      <c r="D2" s="69" t="str">
        <f>'[1]PROJ IS'!C5</f>
        <v>FY 2021</v>
      </c>
      <c r="E2" s="69" t="str">
        <f>'[1]PROJ IS'!D5</f>
        <v>FY 2022</v>
      </c>
      <c r="F2" s="69" t="str">
        <f>'[1]PROJ IS'!E5</f>
        <v>FY 2023</v>
      </c>
      <c r="G2" s="69" t="str">
        <f>'[1]PROJ IS'!F5</f>
        <v>FY 2024</v>
      </c>
      <c r="H2" s="69" t="str">
        <f>'[1]PROJ IS'!G5</f>
        <v>FY 2025</v>
      </c>
      <c r="I2" s="69" t="str">
        <f>'[1]PROJ IS'!H5</f>
        <v>FY 2026</v>
      </c>
      <c r="J2" s="69" t="str">
        <f>'[1]PROJ IS'!I5</f>
        <v>FY 2027</v>
      </c>
      <c r="K2" s="69" t="str">
        <f>'[1]PROJ IS'!J5</f>
        <v>FY 2028</v>
      </c>
      <c r="L2" s="69" t="str">
        <f>'[1]PROJ IS'!K5</f>
        <v>FY 2029</v>
      </c>
      <c r="M2" s="69" t="str">
        <f>'[1]PROJ IS'!L5</f>
        <v>FY 2030</v>
      </c>
    </row>
    <row r="3" spans="2:13" hidden="1" x14ac:dyDescent="0.3">
      <c r="B3" s="45" t="s">
        <v>227</v>
      </c>
      <c r="C3" s="48">
        <f>'Proj IS'!B4</f>
        <v>1816.1</v>
      </c>
      <c r="D3" s="48">
        <f>'Proj IS'!C4</f>
        <v>2038.12</v>
      </c>
      <c r="E3" s="48">
        <f>'Proj IS'!D4</f>
        <v>2170.5977999999996</v>
      </c>
      <c r="F3" s="48">
        <f>'Proj IS'!E4</f>
        <v>2311.6866569999993</v>
      </c>
      <c r="G3" s="48">
        <f>'Proj IS'!F4</f>
        <v>2461.9462897049989</v>
      </c>
      <c r="H3" s="48">
        <f>'Proj IS'!G4</f>
        <v>2621.9727985358236</v>
      </c>
      <c r="I3" s="48">
        <f>'Proj IS'!H4</f>
        <v>2726.8517104772568</v>
      </c>
      <c r="J3" s="48">
        <f>'Proj IS'!I4</f>
        <v>2835.9257788963473</v>
      </c>
      <c r="K3" s="48">
        <f>'Proj IS'!J4</f>
        <v>2949.3628100522014</v>
      </c>
      <c r="L3" s="48">
        <f>'Proj IS'!K4</f>
        <v>3067.3373224542897</v>
      </c>
      <c r="M3" s="48">
        <f>'Proj IS'!L4</f>
        <v>3190.0308153524616</v>
      </c>
    </row>
    <row r="4" spans="2:13" hidden="1" x14ac:dyDescent="0.3">
      <c r="B4" s="45" t="s">
        <v>228</v>
      </c>
      <c r="C4" s="48">
        <f>'Proj IS'!B16</f>
        <v>171.99999999999991</v>
      </c>
      <c r="D4" s="48">
        <f>'Proj IS'!C16</f>
        <v>191.61225809916141</v>
      </c>
      <c r="E4" s="48">
        <f>'Proj IS'!D16</f>
        <v>204.06705487560697</v>
      </c>
      <c r="F4" s="48">
        <f>'Proj IS'!E16</f>
        <v>217.33141344252152</v>
      </c>
      <c r="G4" s="48">
        <f>'Proj IS'!F16</f>
        <v>231.45795531628522</v>
      </c>
      <c r="H4" s="48">
        <f>'Proj IS'!G16</f>
        <v>246.50272241184376</v>
      </c>
      <c r="I4" s="48">
        <f>'Proj IS'!H16</f>
        <v>256.36283130831771</v>
      </c>
      <c r="J4" s="48">
        <f>'Proj IS'!I16</f>
        <v>266.61734456065045</v>
      </c>
      <c r="K4" s="48">
        <f>'Proj IS'!J16</f>
        <v>277.28203834307641</v>
      </c>
      <c r="L4" s="48">
        <f>'Proj IS'!K16</f>
        <v>288.37331987679943</v>
      </c>
      <c r="M4" s="48">
        <f>'Proj IS'!L16</f>
        <v>299.90825267187131</v>
      </c>
    </row>
    <row r="5" spans="2:13" hidden="1" x14ac:dyDescent="0.3">
      <c r="B5" s="45" t="s">
        <v>229</v>
      </c>
      <c r="C5">
        <f>('Proj IS'!B22)*-1</f>
        <v>23</v>
      </c>
      <c r="D5" s="58">
        <f>('Proj IS'!C22)*-1</f>
        <v>39.66485043897098</v>
      </c>
      <c r="E5" s="58">
        <f>('Proj IS'!D22)*-1</f>
        <v>42.243065717504109</v>
      </c>
      <c r="F5" s="58">
        <f>('Proj IS'!E22)*-1</f>
        <v>44.988864989141902</v>
      </c>
      <c r="G5" s="58">
        <f>('Proj IS'!F22)*-1</f>
        <v>47.913141213436077</v>
      </c>
      <c r="H5" s="58">
        <f>('Proj IS'!G22)*-1</f>
        <v>51.027495392309426</v>
      </c>
      <c r="I5" s="58">
        <f>('Proj IS'!H22)*-1</f>
        <v>53.068595208001845</v>
      </c>
      <c r="J5" s="58">
        <f>('Proj IS'!I22)*-1</f>
        <v>55.191339016321926</v>
      </c>
      <c r="K5" s="58">
        <f>('Proj IS'!J22)*-1</f>
        <v>57.398992576974791</v>
      </c>
      <c r="L5" s="58">
        <f>('Proj IS'!K22)*-1</f>
        <v>59.694952280053776</v>
      </c>
      <c r="M5" s="58">
        <f>('Proj IS'!L22)*-1</f>
        <v>62.082750371255898</v>
      </c>
    </row>
    <row r="6" spans="2:13" hidden="1" x14ac:dyDescent="0.3">
      <c r="B6" s="45" t="s">
        <v>285</v>
      </c>
      <c r="C6" s="48">
        <f>'Proj IS'!B45+43.9</f>
        <v>320.89999999999998</v>
      </c>
      <c r="D6" s="48">
        <f>'Proj IS'!C45</f>
        <v>323.70271160577869</v>
      </c>
      <c r="E6" s="48">
        <f>'Proj IS'!D45</f>
        <v>344.74338786015426</v>
      </c>
      <c r="F6" s="48">
        <f>'Proj IS'!E45</f>
        <v>367.15170807106421</v>
      </c>
      <c r="G6" s="48">
        <f>'Proj IS'!F45</f>
        <v>391.01656909568334</v>
      </c>
      <c r="H6" s="48">
        <f>'Proj IS'!G45</f>
        <v>416.43264608690271</v>
      </c>
      <c r="I6" s="48">
        <f>'Proj IS'!H45</f>
        <v>433.0899519303789</v>
      </c>
      <c r="J6" s="48">
        <f>'Proj IS'!I45</f>
        <v>450.4135500075941</v>
      </c>
      <c r="K6" s="48">
        <f>'Proj IS'!J45</f>
        <v>468.43009200789788</v>
      </c>
      <c r="L6" s="48">
        <f>'Proj IS'!K45</f>
        <v>487.16729568821381</v>
      </c>
      <c r="M6" s="48">
        <f>'Proj IS'!L45</f>
        <v>506.65398751574241</v>
      </c>
    </row>
    <row r="7" spans="2:13" hidden="1" x14ac:dyDescent="0.3">
      <c r="B7" s="45" t="s">
        <v>230</v>
      </c>
      <c r="C7" s="48">
        <v>199</v>
      </c>
      <c r="D7" s="48">
        <f>'Proj IS'!C55</f>
        <v>216.23466318356324</v>
      </c>
      <c r="E7" s="48">
        <f>'Proj IS'!D55</f>
        <v>230.28991629049483</v>
      </c>
      <c r="F7" s="48">
        <f>'Proj IS'!E55</f>
        <v>245.25876084937696</v>
      </c>
      <c r="G7" s="48">
        <f>'Proj IS'!F55</f>
        <v>261.20058030458642</v>
      </c>
      <c r="H7" s="48">
        <f>'Proj IS'!G55</f>
        <v>278.17861802438455</v>
      </c>
      <c r="I7" s="48">
        <f>'Proj IS'!H55</f>
        <v>289.30576274535991</v>
      </c>
      <c r="J7" s="48">
        <f>'Proj IS'!I55</f>
        <v>300.87799325517437</v>
      </c>
      <c r="K7" s="48">
        <f>'Proj IS'!J55</f>
        <v>312.91311298538136</v>
      </c>
      <c r="L7" s="48">
        <f>'Proj IS'!K55</f>
        <v>325.42963750479663</v>
      </c>
      <c r="M7" s="48">
        <f>'Proj IS'!L55</f>
        <v>338.44682300498852</v>
      </c>
    </row>
    <row r="8" spans="2:13" hidden="1" x14ac:dyDescent="0.3">
      <c r="B8" s="45" t="s">
        <v>231</v>
      </c>
      <c r="C8" s="48">
        <v>47.7</v>
      </c>
      <c r="D8" s="48">
        <v>10.297918802240133</v>
      </c>
      <c r="E8" s="48">
        <v>-4.5306352778543442</v>
      </c>
      <c r="F8" s="48">
        <v>-4.8251265709149038</v>
      </c>
      <c r="G8" s="48">
        <v>-5.1387597980244664</v>
      </c>
      <c r="H8" s="48">
        <v>-5.4727791848960123</v>
      </c>
      <c r="I8" s="48">
        <v>-3.5867752811778928</v>
      </c>
      <c r="J8" s="48">
        <v>-3.7302462924251358</v>
      </c>
      <c r="K8" s="48">
        <v>-3.8794561441220594</v>
      </c>
      <c r="L8" s="48">
        <v>-4.03463438988706</v>
      </c>
      <c r="M8" s="48">
        <v>-4.1960197654824469</v>
      </c>
    </row>
    <row r="9" spans="2:13" hidden="1" x14ac:dyDescent="0.3">
      <c r="B9" s="45" t="s">
        <v>226</v>
      </c>
      <c r="C9" s="48">
        <f>C4-C5+C6+-C7-C8</f>
        <v>223.19999999999987</v>
      </c>
      <c r="D9" s="48">
        <f t="shared" ref="D9:M9" si="0">D4-D5+D6-D7-D8</f>
        <v>249.11753728016572</v>
      </c>
      <c r="E9" s="48">
        <f t="shared" si="0"/>
        <v>280.80809600561662</v>
      </c>
      <c r="F9" s="48">
        <f t="shared" si="0"/>
        <v>299.06062224598179</v>
      </c>
      <c r="G9" s="48">
        <f t="shared" si="0"/>
        <v>318.49956269197048</v>
      </c>
      <c r="H9" s="48">
        <f t="shared" si="0"/>
        <v>339.20203426694849</v>
      </c>
      <c r="I9" s="48">
        <f t="shared" si="0"/>
        <v>350.66520056651274</v>
      </c>
      <c r="J9" s="48">
        <f t="shared" si="0"/>
        <v>364.69180858917332</v>
      </c>
      <c r="K9" s="48">
        <f t="shared" si="0"/>
        <v>379.27948093274023</v>
      </c>
      <c r="L9" s="48">
        <f t="shared" si="0"/>
        <v>394.45066017004996</v>
      </c>
      <c r="M9" s="48">
        <f t="shared" si="0"/>
        <v>410.22868657685177</v>
      </c>
    </row>
    <row r="10" spans="2:13" hidden="1" x14ac:dyDescent="0.3">
      <c r="C10"/>
      <c r="D10" s="58"/>
      <c r="E10" s="58"/>
      <c r="F10" s="58"/>
      <c r="G10" s="58"/>
      <c r="H10" s="58"/>
      <c r="I10" s="58"/>
      <c r="J10" s="58"/>
      <c r="K10" s="58"/>
      <c r="L10" s="58"/>
      <c r="M10" s="58"/>
    </row>
    <row r="11" spans="2:13" hidden="1" x14ac:dyDescent="0.3">
      <c r="C11"/>
      <c r="D11" s="58"/>
      <c r="E11" s="58"/>
      <c r="F11" s="58"/>
      <c r="G11" s="58"/>
      <c r="H11" s="58"/>
      <c r="I11" s="58"/>
      <c r="J11" s="58"/>
      <c r="K11" s="58"/>
      <c r="L11" s="58"/>
      <c r="M11" s="58"/>
    </row>
    <row r="12" spans="2:13" hidden="1" x14ac:dyDescent="0.3">
      <c r="B12" s="45" t="s">
        <v>232</v>
      </c>
      <c r="C12" s="45"/>
      <c r="D12" s="48"/>
      <c r="E12" s="48"/>
      <c r="F12" s="48"/>
      <c r="G12" s="48"/>
      <c r="H12" s="48"/>
      <c r="I12" s="48"/>
      <c r="J12" s="48"/>
      <c r="K12" s="48"/>
      <c r="L12" s="48"/>
      <c r="M12" s="48">
        <f>M9*(1+E64)/('Assumption Sheet'!D34-E64)</f>
        <v>13356.548229933742</v>
      </c>
    </row>
    <row r="13" spans="2:13" hidden="1" x14ac:dyDescent="0.3">
      <c r="B13" s="45" t="s">
        <v>233</v>
      </c>
      <c r="C13" s="45"/>
      <c r="D13" s="72">
        <f>1/(1+$E$63)^DCF!C1</f>
        <v>0.9483886067445032</v>
      </c>
      <c r="E13" s="72">
        <f>1/(1+$E$63)^DCF!D1</f>
        <v>0.89944094940277985</v>
      </c>
      <c r="F13" s="72">
        <f>1/(1+$E$63)^DCF!E1</f>
        <v>0.85301954885305564</v>
      </c>
      <c r="G13" s="72">
        <f>1/(1+$E$63)^DCF!F1</f>
        <v>0.80899402146257404</v>
      </c>
      <c r="H13" s="72">
        <f>1/(1+$E$63)^DCF!G1</f>
        <v>0.76724071287952333</v>
      </c>
      <c r="I13" s="72">
        <f>1/(1+$E$63)^DCF!H1</f>
        <v>0.72764235072547045</v>
      </c>
      <c r="J13" s="72">
        <f>1/(1+$E$63)^DCF!I1</f>
        <v>0.69008771521282408</v>
      </c>
      <c r="K13" s="72">
        <f>1/(1+$E$63)^DCF!J1</f>
        <v>0.65447132676218767</v>
      </c>
      <c r="L13" s="72">
        <f>1/(1+$E$63)^DCF!K1</f>
        <v>0.62069314974221768</v>
      </c>
      <c r="M13" s="72">
        <f>1/(1+$E$63)^DCF!L1</f>
        <v>0.58865831149987902</v>
      </c>
    </row>
    <row r="14" spans="2:13" hidden="1" x14ac:dyDescent="0.3">
      <c r="B14" s="45" t="s">
        <v>234</v>
      </c>
      <c r="C14" s="45"/>
      <c r="D14" s="48">
        <f>D13*D9</f>
        <v>236.26023409675821</v>
      </c>
      <c r="E14" s="48">
        <f t="shared" ref="E14:L14" si="1">E13*E9</f>
        <v>252.57030047127876</v>
      </c>
      <c r="F14" s="48">
        <f t="shared" si="1"/>
        <v>255.10455706798149</v>
      </c>
      <c r="G14" s="48">
        <f t="shared" si="1"/>
        <v>257.66424205624844</v>
      </c>
      <c r="H14" s="48">
        <f t="shared" si="1"/>
        <v>260.24961058115804</v>
      </c>
      <c r="I14" s="48">
        <f t="shared" si="1"/>
        <v>255.15885085783592</v>
      </c>
      <c r="J14" s="48">
        <f t="shared" si="1"/>
        <v>251.66933694613519</v>
      </c>
      <c r="K14" s="48">
        <f t="shared" si="1"/>
        <v>248.22754509972435</v>
      </c>
      <c r="L14" s="48">
        <f t="shared" si="1"/>
        <v>244.83282267884545</v>
      </c>
      <c r="M14" s="48">
        <f>M13*(M12+M9)</f>
        <v>8103.9276544686363</v>
      </c>
    </row>
    <row r="15" spans="2:13" hidden="1" x14ac:dyDescent="0.3">
      <c r="B15" s="45" t="s">
        <v>235</v>
      </c>
      <c r="C15" s="45"/>
      <c r="D15" s="48">
        <f>SUM(D14:M14)</f>
        <v>10365.665154324603</v>
      </c>
      <c r="E15" s="73"/>
      <c r="F15" s="48"/>
      <c r="G15" s="48"/>
      <c r="H15" s="48"/>
      <c r="I15" s="48"/>
      <c r="J15" s="48"/>
      <c r="K15" s="48"/>
      <c r="L15" s="48"/>
      <c r="M15" s="48"/>
    </row>
    <row r="16" spans="2:13" hidden="1" x14ac:dyDescent="0.3">
      <c r="B16" s="45"/>
      <c r="C16" s="45"/>
      <c r="D16" s="48"/>
    </row>
    <row r="17" spans="2:12" hidden="1" x14ac:dyDescent="0.3">
      <c r="B17" s="45" t="s">
        <v>236</v>
      </c>
      <c r="C17" s="45"/>
      <c r="D17" s="48">
        <f>'Proj BS'!B21+'Proj BS'!B28</f>
        <v>1683.7</v>
      </c>
      <c r="L17" s="58"/>
    </row>
    <row r="18" spans="2:12" hidden="1" x14ac:dyDescent="0.3">
      <c r="B18" s="45" t="s">
        <v>237</v>
      </c>
      <c r="C18" s="45"/>
      <c r="D18" s="48">
        <f>'Proj BS'!B4</f>
        <v>355.1</v>
      </c>
    </row>
    <row r="19" spans="2:12" hidden="1" x14ac:dyDescent="0.3">
      <c r="B19" s="45" t="s">
        <v>238</v>
      </c>
      <c r="C19" s="45"/>
      <c r="D19" s="48">
        <v>0</v>
      </c>
    </row>
    <row r="20" spans="2:12" hidden="1" x14ac:dyDescent="0.3">
      <c r="B20" s="45" t="s">
        <v>239</v>
      </c>
      <c r="C20" s="45"/>
      <c r="D20" s="48">
        <v>0</v>
      </c>
    </row>
    <row r="21" spans="2:12" hidden="1" x14ac:dyDescent="0.3">
      <c r="B21" s="45" t="s">
        <v>175</v>
      </c>
      <c r="C21" s="45"/>
      <c r="D21" s="48">
        <f>D15-D17+D18-D19+D20</f>
        <v>9037.0651543246022</v>
      </c>
    </row>
    <row r="22" spans="2:12" hidden="1" x14ac:dyDescent="0.3">
      <c r="C22"/>
      <c r="F22" t="s">
        <v>283</v>
      </c>
      <c r="G22">
        <v>425.8</v>
      </c>
    </row>
    <row r="23" spans="2:12" hidden="1" x14ac:dyDescent="0.3">
      <c r="B23" t="s">
        <v>240</v>
      </c>
      <c r="C23"/>
      <c r="D23">
        <v>337.52</v>
      </c>
      <c r="F23" t="s">
        <v>284</v>
      </c>
      <c r="G23">
        <v>-176.2</v>
      </c>
    </row>
    <row r="24" spans="2:12" hidden="1" x14ac:dyDescent="0.3">
      <c r="B24" t="s">
        <v>241</v>
      </c>
      <c r="C24"/>
      <c r="D24" s="113">
        <f>D21/D23</f>
        <v>26.774902685247106</v>
      </c>
      <c r="G24">
        <f>G22+G23</f>
        <v>249.60000000000002</v>
      </c>
    </row>
    <row r="25" spans="2:12" hidden="1" x14ac:dyDescent="0.3">
      <c r="B25" t="s">
        <v>263</v>
      </c>
      <c r="C25"/>
      <c r="D25" s="111">
        <f>D24/0.96308872</f>
        <v>27.80107598523956</v>
      </c>
    </row>
    <row r="26" spans="2:12" hidden="1" x14ac:dyDescent="0.3">
      <c r="B26" t="s">
        <v>264</v>
      </c>
      <c r="C26"/>
      <c r="D26" s="112">
        <v>25</v>
      </c>
      <c r="F26" s="58"/>
    </row>
    <row r="27" spans="2:12" hidden="1" x14ac:dyDescent="0.3">
      <c r="B27" t="s">
        <v>265</v>
      </c>
      <c r="C27"/>
      <c r="D27" s="110">
        <f>(D25-D26)/D26</f>
        <v>0.11204303940958241</v>
      </c>
    </row>
    <row r="28" spans="2:12" hidden="1" x14ac:dyDescent="0.3">
      <c r="B28" t="s">
        <v>245</v>
      </c>
      <c r="C28"/>
      <c r="D28" s="75">
        <f>D24*1.15</f>
        <v>30.79113808803417</v>
      </c>
    </row>
    <row r="29" spans="2:12" hidden="1" x14ac:dyDescent="0.3">
      <c r="B29" t="s">
        <v>246</v>
      </c>
      <c r="C29"/>
      <c r="D29" s="75">
        <f>D24*0.85</f>
        <v>22.758667282460038</v>
      </c>
    </row>
    <row r="30" spans="2:12" x14ac:dyDescent="0.3">
      <c r="C30"/>
    </row>
    <row r="32" spans="2:12" x14ac:dyDescent="0.3">
      <c r="B32" s="144" t="s">
        <v>261</v>
      </c>
      <c r="C32" s="144"/>
      <c r="D32" s="144"/>
      <c r="E32" s="144"/>
      <c r="F32" s="144"/>
      <c r="G32" s="144"/>
      <c r="H32" s="144"/>
    </row>
    <row r="33" spans="2:8" x14ac:dyDescent="0.3">
      <c r="B33" s="45"/>
      <c r="C33" s="86"/>
      <c r="D33" s="142" t="s">
        <v>244</v>
      </c>
      <c r="E33" s="142"/>
      <c r="F33" s="142"/>
      <c r="G33" s="142"/>
      <c r="H33" s="142"/>
    </row>
    <row r="34" spans="2:8" s="88" customFormat="1" x14ac:dyDescent="0.3">
      <c r="B34" s="86"/>
      <c r="C34" s="87">
        <f>D25</f>
        <v>27.80107598523956</v>
      </c>
      <c r="D34" s="94">
        <v>0.04</v>
      </c>
      <c r="E34" s="94">
        <v>0.05</v>
      </c>
      <c r="F34" s="95">
        <v>5.4399999999999997E-2</v>
      </c>
      <c r="G34" s="94">
        <v>0.06</v>
      </c>
      <c r="H34" s="94">
        <v>7.0000000000000007E-2</v>
      </c>
    </row>
    <row r="35" spans="2:8" x14ac:dyDescent="0.3">
      <c r="B35" s="143" t="s">
        <v>260</v>
      </c>
      <c r="C35" s="94">
        <v>0.01</v>
      </c>
      <c r="D35" s="48">
        <f t="dataTable" ref="D35:H39" dt2D="1" dtr="1" r1="E63" r2="E64" ca="1"/>
        <v>23.609425120507208</v>
      </c>
      <c r="E35" s="48">
        <v>21.409736435866204</v>
      </c>
      <c r="F35" s="48">
        <v>20.508951275753077</v>
      </c>
      <c r="G35" s="48">
        <v>19.41754263728965</v>
      </c>
      <c r="H35" s="48">
        <v>17.611150050772753</v>
      </c>
    </row>
    <row r="36" spans="2:8" x14ac:dyDescent="0.3">
      <c r="B36" s="143"/>
      <c r="C36" s="94">
        <v>0.02</v>
      </c>
      <c r="D36" s="48">
        <v>29.489042473540437</v>
      </c>
      <c r="E36" s="48">
        <v>26.752789228392423</v>
      </c>
      <c r="F36" s="48">
        <v>25.633179727291513</v>
      </c>
      <c r="G36" s="48">
        <v>24.277403138623971</v>
      </c>
      <c r="H36" s="48">
        <v>22.035451186566366</v>
      </c>
    </row>
    <row r="37" spans="2:8" x14ac:dyDescent="0.3">
      <c r="B37" s="143"/>
      <c r="C37" s="95">
        <v>2.3E-2</v>
      </c>
      <c r="D37" s="48">
        <v>31.982731691381847</v>
      </c>
      <c r="E37" s="48">
        <v>29.018908320684449</v>
      </c>
      <c r="F37" s="85">
        <v>27.806490075925932</v>
      </c>
      <c r="G37" s="48">
        <v>26.33858858739109</v>
      </c>
      <c r="H37" s="48">
        <v>23.911905278110321</v>
      </c>
    </row>
    <row r="38" spans="2:8" x14ac:dyDescent="0.3">
      <c r="B38" s="143"/>
      <c r="C38" s="94">
        <v>0.03</v>
      </c>
      <c r="D38" s="48">
        <v>40.184053523292768</v>
      </c>
      <c r="E38" s="48">
        <v>36.471790521222829</v>
      </c>
      <c r="F38" s="48">
        <v>34.954140024543911</v>
      </c>
      <c r="G38" s="48">
        <v>33.11747871517683</v>
      </c>
      <c r="H38" s="48">
        <v>30.083245233968725</v>
      </c>
    </row>
    <row r="39" spans="2:8" x14ac:dyDescent="0.3">
      <c r="B39" s="143"/>
      <c r="C39" s="94">
        <v>0.04</v>
      </c>
      <c r="D39" s="48">
        <v>65.712551896845213</v>
      </c>
      <c r="E39" s="48">
        <v>59.670598595602549</v>
      </c>
      <c r="F39" s="48">
        <v>57.202842590761897</v>
      </c>
      <c r="G39" s="48">
        <v>54.218331620170908</v>
      </c>
      <c r="H39" s="48">
        <v>49.292958650258633</v>
      </c>
    </row>
    <row r="41" spans="2:8" x14ac:dyDescent="0.3">
      <c r="B41" s="144" t="s">
        <v>262</v>
      </c>
      <c r="C41" s="144"/>
      <c r="D41" s="144"/>
      <c r="E41" s="144"/>
      <c r="F41" s="144"/>
      <c r="G41" s="144"/>
      <c r="H41" s="144"/>
    </row>
    <row r="42" spans="2:8" x14ac:dyDescent="0.3">
      <c r="B42" s="45"/>
      <c r="C42" s="86"/>
      <c r="D42" s="142" t="s">
        <v>244</v>
      </c>
      <c r="E42" s="142"/>
      <c r="F42" s="142"/>
      <c r="G42" s="142"/>
      <c r="H42" s="142"/>
    </row>
    <row r="43" spans="2:8" x14ac:dyDescent="0.3">
      <c r="B43" s="86"/>
      <c r="C43" s="87">
        <f>D15</f>
        <v>10365.665154324603</v>
      </c>
      <c r="D43" s="94">
        <v>0.04</v>
      </c>
      <c r="E43" s="94">
        <v>0.05</v>
      </c>
      <c r="F43" s="95">
        <v>5.4399999999999997E-2</v>
      </c>
      <c r="G43" s="94">
        <v>0.06</v>
      </c>
      <c r="H43" s="94">
        <v>7.0000000000000007E-2</v>
      </c>
    </row>
    <row r="44" spans="2:8" x14ac:dyDescent="0.3">
      <c r="B44" s="143" t="s">
        <v>260</v>
      </c>
      <c r="C44" s="94">
        <v>0.01</v>
      </c>
      <c r="D44" s="48">
        <f t="dataTable" ref="D44:H48" dt2D="1" dtr="1" r1="E63" r2="E64"/>
        <v>9003.1199784156161</v>
      </c>
      <c r="E44" s="48">
        <v>8288.0854246132549</v>
      </c>
      <c r="F44" s="48">
        <v>7995.2746648314005</v>
      </c>
      <c r="G44" s="48">
        <v>7640.4995122069722</v>
      </c>
      <c r="H44" s="48">
        <v>7053.3104585419524</v>
      </c>
    </row>
    <row r="45" spans="2:8" x14ac:dyDescent="0.3">
      <c r="B45" s="143"/>
      <c r="C45" s="94">
        <v>0.02</v>
      </c>
      <c r="D45" s="48">
        <v>10914.358418613743</v>
      </c>
      <c r="E45" s="48">
        <v>10024.907274051446</v>
      </c>
      <c r="F45" s="48">
        <v>9660.9651009419686</v>
      </c>
      <c r="G45" s="48">
        <v>9220.254051736476</v>
      </c>
      <c r="H45" s="48">
        <v>8491.4813281783372</v>
      </c>
    </row>
    <row r="46" spans="2:8" x14ac:dyDescent="0.3">
      <c r="B46" s="143"/>
      <c r="C46" s="95">
        <v>2.3E-2</v>
      </c>
      <c r="D46" s="48">
        <v>11724.961286942813</v>
      </c>
      <c r="E46" s="48">
        <v>10761.535809413708</v>
      </c>
      <c r="F46" s="85">
        <v>10367.425067872919</v>
      </c>
      <c r="G46" s="48">
        <v>9890.2665075689038</v>
      </c>
      <c r="H46" s="48">
        <v>9101.4446941065144</v>
      </c>
    </row>
    <row r="47" spans="2:8" x14ac:dyDescent="0.3">
      <c r="B47" s="143"/>
      <c r="C47" s="94">
        <v>0.03</v>
      </c>
      <c r="D47" s="48">
        <v>14390.896943027283</v>
      </c>
      <c r="E47" s="48">
        <v>13184.182403003495</v>
      </c>
      <c r="F47" s="48">
        <v>12690.852345301329</v>
      </c>
      <c r="G47" s="48">
        <v>12093.824088985286</v>
      </c>
      <c r="H47" s="48">
        <v>11107.510980900217</v>
      </c>
    </row>
    <row r="48" spans="2:8" x14ac:dyDescent="0.3">
      <c r="B48" s="143"/>
      <c r="C48" s="94">
        <v>0.04</v>
      </c>
      <c r="D48" s="48">
        <v>22689.234144664737</v>
      </c>
      <c r="E48" s="48">
        <v>20725.226504395483</v>
      </c>
      <c r="F48" s="48">
        <v>19923.053530494719</v>
      </c>
      <c r="G48" s="48">
        <v>18952.903306476514</v>
      </c>
      <c r="H48" s="48">
        <v>17351.853172227078</v>
      </c>
    </row>
    <row r="61" spans="3:5" hidden="1" x14ac:dyDescent="0.3"/>
    <row r="62" spans="3:5" hidden="1" x14ac:dyDescent="0.3">
      <c r="C62" s="89" t="s">
        <v>242</v>
      </c>
      <c r="D62" s="1"/>
    </row>
    <row r="63" spans="3:5" hidden="1" x14ac:dyDescent="0.3">
      <c r="C63" s="90" t="s">
        <v>258</v>
      </c>
      <c r="E63" s="31">
        <f>'Assumption Sheet'!D34</f>
        <v>5.4420089917213671E-2</v>
      </c>
    </row>
    <row r="64" spans="3:5" hidden="1" x14ac:dyDescent="0.3">
      <c r="C64" s="90" t="s">
        <v>259</v>
      </c>
      <c r="E64" s="16">
        <f>'Assumption Sheet'!D35</f>
        <v>2.3E-2</v>
      </c>
    </row>
    <row r="65" spans="3:10" hidden="1" x14ac:dyDescent="0.3">
      <c r="C65" s="91"/>
      <c r="D65" s="84"/>
      <c r="E65" s="84"/>
      <c r="F65" s="16"/>
      <c r="G65" s="84"/>
      <c r="H65" s="84"/>
      <c r="J65" s="16"/>
    </row>
    <row r="66" spans="3:10" x14ac:dyDescent="0.3">
      <c r="C66" s="92"/>
      <c r="J66" s="16"/>
    </row>
    <row r="67" spans="3:10" x14ac:dyDescent="0.3">
      <c r="C67" s="92"/>
    </row>
    <row r="68" spans="3:10" x14ac:dyDescent="0.3">
      <c r="C68" s="93"/>
    </row>
    <row r="69" spans="3:10" x14ac:dyDescent="0.3">
      <c r="C69" s="92"/>
    </row>
    <row r="70" spans="3:10" x14ac:dyDescent="0.3">
      <c r="C70" s="92"/>
    </row>
  </sheetData>
  <mergeCells count="7">
    <mergeCell ref="D42:H42"/>
    <mergeCell ref="B44:B48"/>
    <mergeCell ref="B1:B2"/>
    <mergeCell ref="B32:H32"/>
    <mergeCell ref="B41:H41"/>
    <mergeCell ref="D33:H33"/>
    <mergeCell ref="B35:B3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FC594-37AF-45DD-9579-A464774D6C5B}">
  <dimension ref="A1:K803"/>
  <sheetViews>
    <sheetView topLeftCell="A778" workbookViewId="0">
      <selection activeCell="I796" sqref="I796:K798"/>
    </sheetView>
  </sheetViews>
  <sheetFormatPr defaultRowHeight="14.4" x14ac:dyDescent="0.3"/>
  <cols>
    <col min="1" max="1" width="11.21875" customWidth="1"/>
  </cols>
  <sheetData>
    <row r="1" spans="1:3" x14ac:dyDescent="0.3">
      <c r="A1" t="s">
        <v>286</v>
      </c>
      <c r="B1" t="s">
        <v>288</v>
      </c>
      <c r="C1" t="s">
        <v>287</v>
      </c>
    </row>
    <row r="2" spans="1:3" x14ac:dyDescent="0.3">
      <c r="A2" s="127">
        <v>43371</v>
      </c>
      <c r="B2">
        <v>10.979824000000001</v>
      </c>
      <c r="C2">
        <v>9087.9902340000008</v>
      </c>
    </row>
    <row r="3" spans="1:3" x14ac:dyDescent="0.3">
      <c r="A3" s="127">
        <v>43374</v>
      </c>
      <c r="B3">
        <v>10.801291000000001</v>
      </c>
      <c r="C3">
        <v>9127.0498050000006</v>
      </c>
    </row>
    <row r="4" spans="1:3" x14ac:dyDescent="0.3">
      <c r="A4" s="127">
        <v>43375</v>
      </c>
      <c r="B4">
        <v>10.729877</v>
      </c>
      <c r="C4">
        <v>9087.3203130000002</v>
      </c>
    </row>
    <row r="5" spans="1:3" x14ac:dyDescent="0.3">
      <c r="A5" s="127">
        <v>43376</v>
      </c>
      <c r="B5">
        <v>10.783436999999999</v>
      </c>
      <c r="C5">
        <v>9175.2099610000005</v>
      </c>
    </row>
    <row r="6" spans="1:3" x14ac:dyDescent="0.3">
      <c r="A6" s="127">
        <v>43377</v>
      </c>
      <c r="B6">
        <v>10.756658</v>
      </c>
      <c r="C6">
        <v>9097.5195309999999</v>
      </c>
    </row>
    <row r="7" spans="1:3" x14ac:dyDescent="0.3">
      <c r="A7" s="127">
        <v>43378</v>
      </c>
      <c r="B7">
        <v>10.926264</v>
      </c>
      <c r="C7">
        <v>9042.0800780000009</v>
      </c>
    </row>
    <row r="8" spans="1:3" x14ac:dyDescent="0.3">
      <c r="A8" s="127">
        <v>43381</v>
      </c>
      <c r="B8">
        <v>10.915551000000001</v>
      </c>
      <c r="C8">
        <v>8964.1396480000003</v>
      </c>
    </row>
    <row r="9" spans="1:3" x14ac:dyDescent="0.3">
      <c r="A9" s="127">
        <v>43382</v>
      </c>
      <c r="B9">
        <v>10.861992000000001</v>
      </c>
      <c r="C9">
        <v>8964.1103519999997</v>
      </c>
    </row>
    <row r="10" spans="1:3" x14ac:dyDescent="0.3">
      <c r="A10" s="127">
        <v>43383</v>
      </c>
      <c r="B10">
        <v>10.654892</v>
      </c>
      <c r="C10">
        <v>8892.8798829999996</v>
      </c>
    </row>
    <row r="11" spans="1:3" x14ac:dyDescent="0.3">
      <c r="A11" s="127">
        <v>43384</v>
      </c>
      <c r="B11">
        <v>10.444222999999999</v>
      </c>
      <c r="C11">
        <v>8639.1904300000006</v>
      </c>
    </row>
    <row r="12" spans="1:3" x14ac:dyDescent="0.3">
      <c r="A12" s="127">
        <v>43385</v>
      </c>
      <c r="B12">
        <v>10.383521</v>
      </c>
      <c r="C12">
        <v>8660.3798829999996</v>
      </c>
    </row>
    <row r="13" spans="1:3" x14ac:dyDescent="0.3">
      <c r="A13" s="127">
        <v>43388</v>
      </c>
      <c r="B13">
        <v>10.488856</v>
      </c>
      <c r="C13">
        <v>8653.1601559999999</v>
      </c>
    </row>
    <row r="14" spans="1:3" x14ac:dyDescent="0.3">
      <c r="A14" s="127">
        <v>43389</v>
      </c>
      <c r="B14">
        <v>10.39959</v>
      </c>
      <c r="C14">
        <v>8794.9697269999997</v>
      </c>
    </row>
    <row r="15" spans="1:3" x14ac:dyDescent="0.3">
      <c r="A15" s="127">
        <v>43390</v>
      </c>
      <c r="B15">
        <v>10.356741</v>
      </c>
      <c r="C15">
        <v>8750.3496090000008</v>
      </c>
    </row>
    <row r="16" spans="1:3" x14ac:dyDescent="0.3">
      <c r="A16" s="127">
        <v>43391</v>
      </c>
      <c r="B16">
        <v>10.354956</v>
      </c>
      <c r="C16">
        <v>8779.1796880000002</v>
      </c>
    </row>
    <row r="17" spans="1:3" x14ac:dyDescent="0.3">
      <c r="A17" s="127">
        <v>43392</v>
      </c>
      <c r="B17">
        <v>10.297826000000001</v>
      </c>
      <c r="C17">
        <v>8872.0898440000001</v>
      </c>
    </row>
    <row r="18" spans="1:3" x14ac:dyDescent="0.3">
      <c r="A18" s="127">
        <v>43395</v>
      </c>
      <c r="B18">
        <v>10.208558</v>
      </c>
      <c r="C18">
        <v>8865.5595699999994</v>
      </c>
    </row>
    <row r="19" spans="1:3" x14ac:dyDescent="0.3">
      <c r="A19" s="127">
        <v>43396</v>
      </c>
      <c r="B19">
        <v>10.042521000000001</v>
      </c>
      <c r="C19">
        <v>8767.1503909999992</v>
      </c>
    </row>
    <row r="20" spans="1:3" x14ac:dyDescent="0.3">
      <c r="A20" s="127">
        <v>43397</v>
      </c>
      <c r="B20">
        <v>10.005029</v>
      </c>
      <c r="C20">
        <v>8724.6103519999997</v>
      </c>
    </row>
    <row r="21" spans="1:3" x14ac:dyDescent="0.3">
      <c r="A21" s="127">
        <v>43398</v>
      </c>
      <c r="B21">
        <v>10.176422000000001</v>
      </c>
      <c r="C21">
        <v>8706.4003909999992</v>
      </c>
    </row>
    <row r="22" spans="1:3" x14ac:dyDescent="0.3">
      <c r="A22" s="127">
        <v>43399</v>
      </c>
      <c r="B22">
        <v>10.042521000000001</v>
      </c>
      <c r="C22">
        <v>8665.7998050000006</v>
      </c>
    </row>
    <row r="23" spans="1:3" x14ac:dyDescent="0.3">
      <c r="A23" s="127">
        <v>43402</v>
      </c>
      <c r="B23">
        <v>9.9336169999999999</v>
      </c>
      <c r="C23">
        <v>8759.6201170000004</v>
      </c>
    </row>
    <row r="24" spans="1:3" x14ac:dyDescent="0.3">
      <c r="A24" s="127">
        <v>43403</v>
      </c>
      <c r="B24">
        <v>9.8639880000000009</v>
      </c>
      <c r="C24">
        <v>8854.2802730000003</v>
      </c>
    </row>
    <row r="25" spans="1:3" x14ac:dyDescent="0.3">
      <c r="A25" s="127">
        <v>43404</v>
      </c>
      <c r="B25">
        <v>9.9675390000000004</v>
      </c>
      <c r="C25">
        <v>9022.1601559999999</v>
      </c>
    </row>
    <row r="26" spans="1:3" x14ac:dyDescent="0.3">
      <c r="A26" s="127">
        <v>43405</v>
      </c>
      <c r="B26">
        <v>10.046092</v>
      </c>
      <c r="C26">
        <v>9017.25</v>
      </c>
    </row>
    <row r="27" spans="1:3" x14ac:dyDescent="0.3">
      <c r="A27" s="127">
        <v>43406</v>
      </c>
      <c r="B27">
        <v>9.9657509999999991</v>
      </c>
      <c r="C27">
        <v>8992.2998050000006</v>
      </c>
    </row>
    <row r="28" spans="1:3" x14ac:dyDescent="0.3">
      <c r="A28" s="127">
        <v>43409</v>
      </c>
      <c r="B28">
        <v>9.9086219999999994</v>
      </c>
      <c r="C28">
        <v>9008.5800780000009</v>
      </c>
    </row>
    <row r="29" spans="1:3" x14ac:dyDescent="0.3">
      <c r="A29" s="127">
        <v>43410</v>
      </c>
      <c r="B29">
        <v>9.9978890000000007</v>
      </c>
      <c r="C29">
        <v>8992.0703130000002</v>
      </c>
    </row>
    <row r="30" spans="1:3" x14ac:dyDescent="0.3">
      <c r="A30" s="127">
        <v>43411</v>
      </c>
      <c r="B30">
        <v>10.013956</v>
      </c>
      <c r="C30">
        <v>9050.5302730000003</v>
      </c>
    </row>
    <row r="31" spans="1:3" x14ac:dyDescent="0.3">
      <c r="A31" s="127">
        <v>43412</v>
      </c>
      <c r="B31">
        <v>9.9443280000000005</v>
      </c>
      <c r="C31">
        <v>9094.9003909999992</v>
      </c>
    </row>
    <row r="32" spans="1:3" x14ac:dyDescent="0.3">
      <c r="A32" s="127">
        <v>43413</v>
      </c>
      <c r="B32">
        <v>9.9264759999999992</v>
      </c>
      <c r="C32">
        <v>9074.0302730000003</v>
      </c>
    </row>
    <row r="33" spans="1:3" x14ac:dyDescent="0.3">
      <c r="A33" s="127">
        <v>43416</v>
      </c>
      <c r="B33">
        <v>9.9086219999999994</v>
      </c>
      <c r="C33">
        <v>8984.0498050000006</v>
      </c>
    </row>
    <row r="34" spans="1:3" x14ac:dyDescent="0.3">
      <c r="A34" s="127">
        <v>43417</v>
      </c>
      <c r="B34">
        <v>9.8193560000000009</v>
      </c>
      <c r="C34">
        <v>9015.4296880000002</v>
      </c>
    </row>
    <row r="35" spans="1:3" x14ac:dyDescent="0.3">
      <c r="A35" s="127">
        <v>43418</v>
      </c>
      <c r="B35">
        <v>9.6586739999999995</v>
      </c>
      <c r="C35">
        <v>8931.2001949999994</v>
      </c>
    </row>
    <row r="36" spans="1:3" x14ac:dyDescent="0.3">
      <c r="A36" s="127">
        <v>43419</v>
      </c>
      <c r="B36">
        <v>9.3730209999999996</v>
      </c>
      <c r="C36">
        <v>8870.0302730000003</v>
      </c>
    </row>
    <row r="37" spans="1:3" x14ac:dyDescent="0.3">
      <c r="A37" s="127">
        <v>43420</v>
      </c>
      <c r="B37">
        <v>9.2837530000000008</v>
      </c>
      <c r="C37">
        <v>8907.3896480000003</v>
      </c>
    </row>
    <row r="38" spans="1:3" x14ac:dyDescent="0.3">
      <c r="A38" s="127">
        <v>43423</v>
      </c>
      <c r="B38">
        <v>9.2301929999999999</v>
      </c>
      <c r="C38">
        <v>8812.6103519999997</v>
      </c>
    </row>
    <row r="39" spans="1:3" x14ac:dyDescent="0.3">
      <c r="A39" s="127">
        <v>43424</v>
      </c>
      <c r="B39">
        <v>9.2837530000000008</v>
      </c>
      <c r="C39">
        <v>8769.4501949999994</v>
      </c>
    </row>
    <row r="40" spans="1:3" x14ac:dyDescent="0.3">
      <c r="A40" s="127">
        <v>43425</v>
      </c>
      <c r="B40">
        <v>9.1230729999999998</v>
      </c>
      <c r="C40">
        <v>8841.4804690000001</v>
      </c>
    </row>
    <row r="41" spans="1:3" x14ac:dyDescent="0.3">
      <c r="A41" s="127">
        <v>43426</v>
      </c>
      <c r="B41">
        <v>9.2659009999999995</v>
      </c>
      <c r="C41">
        <v>8781.2900389999995</v>
      </c>
    </row>
    <row r="42" spans="1:3" x14ac:dyDescent="0.3">
      <c r="A42" s="127">
        <v>43427</v>
      </c>
      <c r="B42">
        <v>9.3373139999999992</v>
      </c>
      <c r="C42">
        <v>8845.9003909999992</v>
      </c>
    </row>
    <row r="43" spans="1:3" x14ac:dyDescent="0.3">
      <c r="A43" s="127">
        <v>43430</v>
      </c>
      <c r="B43">
        <v>8.9980989999999998</v>
      </c>
      <c r="C43">
        <v>8931.3701170000004</v>
      </c>
    </row>
    <row r="44" spans="1:3" x14ac:dyDescent="0.3">
      <c r="A44" s="127">
        <v>43431</v>
      </c>
      <c r="B44">
        <v>9.0516609999999993</v>
      </c>
      <c r="C44">
        <v>8898.0097659999992</v>
      </c>
    </row>
    <row r="45" spans="1:3" x14ac:dyDescent="0.3">
      <c r="A45" s="127">
        <v>43432</v>
      </c>
      <c r="B45">
        <v>8.9980989999999998</v>
      </c>
      <c r="C45">
        <v>8894.5800780000009</v>
      </c>
    </row>
    <row r="46" spans="1:3" x14ac:dyDescent="0.3">
      <c r="A46" s="127">
        <v>43433</v>
      </c>
      <c r="B46">
        <v>8.9623930000000005</v>
      </c>
      <c r="C46">
        <v>9015.5898440000001</v>
      </c>
    </row>
    <row r="47" spans="1:3" x14ac:dyDescent="0.3">
      <c r="A47" s="127">
        <v>43434</v>
      </c>
      <c r="B47">
        <v>9.0338069999999995</v>
      </c>
      <c r="C47">
        <v>9037.7597659999992</v>
      </c>
    </row>
    <row r="48" spans="1:3" x14ac:dyDescent="0.3">
      <c r="A48" s="127">
        <v>43437</v>
      </c>
      <c r="B48">
        <v>9.1944870000000005</v>
      </c>
      <c r="C48">
        <v>9106.5595699999994</v>
      </c>
    </row>
    <row r="49" spans="1:3" x14ac:dyDescent="0.3">
      <c r="A49" s="127">
        <v>43438</v>
      </c>
      <c r="B49">
        <v>9.3373139999999992</v>
      </c>
      <c r="C49">
        <v>9085</v>
      </c>
    </row>
    <row r="50" spans="1:3" x14ac:dyDescent="0.3">
      <c r="A50" s="127">
        <v>43439</v>
      </c>
      <c r="B50">
        <v>8.9445399999999999</v>
      </c>
      <c r="C50">
        <v>8939.9599610000005</v>
      </c>
    </row>
    <row r="51" spans="1:3" x14ac:dyDescent="0.3">
      <c r="A51" s="127">
        <v>43440</v>
      </c>
      <c r="B51">
        <v>8.7927859999999995</v>
      </c>
      <c r="C51">
        <v>8660.0302730000003</v>
      </c>
    </row>
    <row r="52" spans="1:3" x14ac:dyDescent="0.3">
      <c r="A52" s="127">
        <v>43441</v>
      </c>
      <c r="B52">
        <v>9.0159529999999997</v>
      </c>
      <c r="C52">
        <v>8741.0302730000003</v>
      </c>
    </row>
    <row r="53" spans="1:3" x14ac:dyDescent="0.3">
      <c r="A53" s="127">
        <v>43444</v>
      </c>
      <c r="B53">
        <v>8.8731259999999992</v>
      </c>
      <c r="C53">
        <v>8551.0195309999999</v>
      </c>
    </row>
    <row r="54" spans="1:3" x14ac:dyDescent="0.3">
      <c r="A54" s="127">
        <v>43445</v>
      </c>
      <c r="B54">
        <v>9.2301929999999999</v>
      </c>
      <c r="C54">
        <v>8715.0800780000009</v>
      </c>
    </row>
    <row r="55" spans="1:3" x14ac:dyDescent="0.3">
      <c r="A55" s="127">
        <v>43446</v>
      </c>
      <c r="B55">
        <v>9.105219</v>
      </c>
      <c r="C55">
        <v>8861.1396480000003</v>
      </c>
    </row>
    <row r="56" spans="1:3" x14ac:dyDescent="0.3">
      <c r="A56" s="127">
        <v>43447</v>
      </c>
      <c r="B56">
        <v>9.3194599999999994</v>
      </c>
      <c r="C56">
        <v>8814.7001949999994</v>
      </c>
    </row>
    <row r="57" spans="1:3" x14ac:dyDescent="0.3">
      <c r="A57" s="127">
        <v>43448</v>
      </c>
      <c r="B57">
        <v>9.2837530000000008</v>
      </c>
      <c r="C57">
        <v>8713.6796880000002</v>
      </c>
    </row>
    <row r="58" spans="1:3" x14ac:dyDescent="0.3">
      <c r="A58" s="127">
        <v>43451</v>
      </c>
      <c r="B58">
        <v>9.1409260000000003</v>
      </c>
      <c r="C58">
        <v>8602.6103519999997</v>
      </c>
    </row>
    <row r="59" spans="1:3" x14ac:dyDescent="0.3">
      <c r="A59" s="127">
        <v>43452</v>
      </c>
      <c r="B59">
        <v>9.0516609999999993</v>
      </c>
      <c r="C59">
        <v>8528.2695309999999</v>
      </c>
    </row>
    <row r="60" spans="1:3" x14ac:dyDescent="0.3">
      <c r="A60" s="127">
        <v>43453</v>
      </c>
      <c r="B60">
        <v>9.4444339999999993</v>
      </c>
      <c r="C60">
        <v>8540.1601559999999</v>
      </c>
    </row>
    <row r="61" spans="1:3" x14ac:dyDescent="0.3">
      <c r="A61" s="127">
        <v>43454</v>
      </c>
      <c r="B61">
        <v>9.1766330000000007</v>
      </c>
      <c r="C61">
        <v>8414.4804690000001</v>
      </c>
    </row>
    <row r="62" spans="1:3" x14ac:dyDescent="0.3">
      <c r="A62" s="127">
        <v>43455</v>
      </c>
      <c r="B62">
        <v>9.2123390000000001</v>
      </c>
      <c r="C62">
        <v>8417.2900389999995</v>
      </c>
    </row>
    <row r="63" spans="1:3" x14ac:dyDescent="0.3">
      <c r="A63" s="127">
        <v>43461</v>
      </c>
      <c r="B63">
        <v>8.9980989999999998</v>
      </c>
      <c r="C63">
        <v>8195.6396480000003</v>
      </c>
    </row>
    <row r="64" spans="1:3" x14ac:dyDescent="0.3">
      <c r="A64" s="127">
        <v>43462</v>
      </c>
      <c r="B64">
        <v>9.3373139999999992</v>
      </c>
      <c r="C64">
        <v>8429.2998050000006</v>
      </c>
    </row>
    <row r="65" spans="1:3" x14ac:dyDescent="0.3">
      <c r="A65" s="127">
        <v>43468</v>
      </c>
      <c r="B65">
        <v>9.105219</v>
      </c>
      <c r="C65">
        <v>8466.0097659999992</v>
      </c>
    </row>
    <row r="66" spans="1:3" x14ac:dyDescent="0.3">
      <c r="A66" s="127">
        <v>43469</v>
      </c>
      <c r="B66">
        <v>9.1409260000000003</v>
      </c>
      <c r="C66">
        <v>8608.5595699999994</v>
      </c>
    </row>
    <row r="67" spans="1:3" x14ac:dyDescent="0.3">
      <c r="A67" s="127">
        <v>43472</v>
      </c>
      <c r="B67">
        <v>9.2837530000000008</v>
      </c>
      <c r="C67">
        <v>8535.9501949999994</v>
      </c>
    </row>
    <row r="68" spans="1:3" x14ac:dyDescent="0.3">
      <c r="A68" s="127">
        <v>43473</v>
      </c>
      <c r="B68">
        <v>9.1409260000000003</v>
      </c>
      <c r="C68">
        <v>8629.4804690000001</v>
      </c>
    </row>
    <row r="69" spans="1:3" x14ac:dyDescent="0.3">
      <c r="A69" s="127">
        <v>43474</v>
      </c>
      <c r="B69">
        <v>9.2659009999999995</v>
      </c>
      <c r="C69">
        <v>8687.7099610000005</v>
      </c>
    </row>
    <row r="70" spans="1:3" x14ac:dyDescent="0.3">
      <c r="A70" s="127">
        <v>43475</v>
      </c>
      <c r="B70">
        <v>9.2123390000000001</v>
      </c>
      <c r="C70">
        <v>8801.4804690000001</v>
      </c>
    </row>
    <row r="71" spans="1:3" x14ac:dyDescent="0.3">
      <c r="A71" s="127">
        <v>43476</v>
      </c>
      <c r="B71">
        <v>9.1409260000000003</v>
      </c>
      <c r="C71">
        <v>8828.2197269999997</v>
      </c>
    </row>
    <row r="72" spans="1:3" x14ac:dyDescent="0.3">
      <c r="A72" s="127">
        <v>43479</v>
      </c>
      <c r="B72">
        <v>8.9266860000000001</v>
      </c>
      <c r="C72">
        <v>8760.3203130000002</v>
      </c>
    </row>
    <row r="73" spans="1:3" x14ac:dyDescent="0.3">
      <c r="A73" s="127">
        <v>43480</v>
      </c>
      <c r="B73">
        <v>8.9802470000000003</v>
      </c>
      <c r="C73">
        <v>8824.7304690000001</v>
      </c>
    </row>
    <row r="74" spans="1:3" x14ac:dyDescent="0.3">
      <c r="A74" s="127">
        <v>43481</v>
      </c>
      <c r="B74">
        <v>9.0159529999999997</v>
      </c>
      <c r="C74">
        <v>8873.7695309999999</v>
      </c>
    </row>
    <row r="75" spans="1:3" x14ac:dyDescent="0.3">
      <c r="A75" s="127">
        <v>43482</v>
      </c>
      <c r="B75">
        <v>9.1587800000000001</v>
      </c>
      <c r="C75">
        <v>8914.1396480000003</v>
      </c>
    </row>
    <row r="76" spans="1:3" x14ac:dyDescent="0.3">
      <c r="A76" s="127">
        <v>43483</v>
      </c>
      <c r="B76">
        <v>9.1587800000000001</v>
      </c>
      <c r="C76">
        <v>9023.9599610000005</v>
      </c>
    </row>
    <row r="77" spans="1:3" x14ac:dyDescent="0.3">
      <c r="A77" s="127">
        <v>43486</v>
      </c>
      <c r="B77">
        <v>9.0695119999999996</v>
      </c>
      <c r="C77">
        <v>9011.4101559999999</v>
      </c>
    </row>
    <row r="78" spans="1:3" x14ac:dyDescent="0.3">
      <c r="A78" s="127">
        <v>43487</v>
      </c>
      <c r="B78">
        <v>9.0159529999999997</v>
      </c>
      <c r="C78">
        <v>8966.3398440000001</v>
      </c>
    </row>
    <row r="79" spans="1:3" x14ac:dyDescent="0.3">
      <c r="A79" s="127">
        <v>43488</v>
      </c>
      <c r="B79">
        <v>9.2480460000000004</v>
      </c>
      <c r="C79">
        <v>8957.1904300000006</v>
      </c>
    </row>
    <row r="80" spans="1:3" x14ac:dyDescent="0.3">
      <c r="A80" s="127">
        <v>43489</v>
      </c>
      <c r="B80">
        <v>9.0695119999999996</v>
      </c>
      <c r="C80">
        <v>8937.3896480000003</v>
      </c>
    </row>
    <row r="81" spans="1:3" x14ac:dyDescent="0.3">
      <c r="A81" s="127">
        <v>43490</v>
      </c>
      <c r="B81">
        <v>9.0695119999999996</v>
      </c>
      <c r="C81">
        <v>8922.4902340000008</v>
      </c>
    </row>
    <row r="82" spans="1:3" x14ac:dyDescent="0.3">
      <c r="A82" s="127">
        <v>43493</v>
      </c>
      <c r="B82">
        <v>8.9980989999999998</v>
      </c>
      <c r="C82">
        <v>8857.8496090000008</v>
      </c>
    </row>
    <row r="83" spans="1:3" x14ac:dyDescent="0.3">
      <c r="A83" s="127">
        <v>43494</v>
      </c>
      <c r="B83">
        <v>9.0695119999999996</v>
      </c>
      <c r="C83">
        <v>8940.5195309999999</v>
      </c>
    </row>
    <row r="84" spans="1:3" x14ac:dyDescent="0.3">
      <c r="A84" s="127">
        <v>43495</v>
      </c>
      <c r="B84">
        <v>9.0338069999999995</v>
      </c>
      <c r="C84">
        <v>8965.7099610000005</v>
      </c>
    </row>
    <row r="85" spans="1:3" x14ac:dyDescent="0.3">
      <c r="A85" s="127">
        <v>43496</v>
      </c>
      <c r="B85">
        <v>9.0159529999999997</v>
      </c>
      <c r="C85">
        <v>8969.2695309999999</v>
      </c>
    </row>
    <row r="86" spans="1:3" x14ac:dyDescent="0.3">
      <c r="A86" s="127">
        <v>43497</v>
      </c>
      <c r="B86">
        <v>8.9266860000000001</v>
      </c>
      <c r="C86">
        <v>8996.3603519999997</v>
      </c>
    </row>
    <row r="87" spans="1:3" x14ac:dyDescent="0.3">
      <c r="A87" s="127">
        <v>43500</v>
      </c>
      <c r="B87">
        <v>8.8374190000000006</v>
      </c>
      <c r="C87">
        <v>9011.4804690000001</v>
      </c>
    </row>
    <row r="88" spans="1:3" x14ac:dyDescent="0.3">
      <c r="A88" s="127">
        <v>43501</v>
      </c>
      <c r="B88">
        <v>8.9980989999999998</v>
      </c>
      <c r="C88">
        <v>9150.5595699999994</v>
      </c>
    </row>
    <row r="89" spans="1:3" x14ac:dyDescent="0.3">
      <c r="A89" s="127">
        <v>43502</v>
      </c>
      <c r="B89">
        <v>9.1230729999999998</v>
      </c>
      <c r="C89">
        <v>9143</v>
      </c>
    </row>
    <row r="90" spans="1:3" x14ac:dyDescent="0.3">
      <c r="A90" s="127">
        <v>43503</v>
      </c>
      <c r="B90">
        <v>9.0516609999999993</v>
      </c>
      <c r="C90">
        <v>9035.9003909999992</v>
      </c>
    </row>
    <row r="91" spans="1:3" x14ac:dyDescent="0.3">
      <c r="A91" s="127">
        <v>43504</v>
      </c>
      <c r="B91">
        <v>9.1409260000000003</v>
      </c>
      <c r="C91">
        <v>9003.4101559999999</v>
      </c>
    </row>
    <row r="92" spans="1:3" x14ac:dyDescent="0.3">
      <c r="A92" s="127">
        <v>43507</v>
      </c>
      <c r="B92">
        <v>9.2659009999999995</v>
      </c>
      <c r="C92">
        <v>9068.6201170000004</v>
      </c>
    </row>
    <row r="93" spans="1:3" x14ac:dyDescent="0.3">
      <c r="A93" s="127">
        <v>43508</v>
      </c>
      <c r="B93">
        <v>9.7300869999999993</v>
      </c>
      <c r="C93">
        <v>9127.4003909999992</v>
      </c>
    </row>
    <row r="94" spans="1:3" x14ac:dyDescent="0.3">
      <c r="A94" s="127">
        <v>43509</v>
      </c>
      <c r="B94">
        <v>9.8193560000000009</v>
      </c>
      <c r="C94">
        <v>9164.0595699999994</v>
      </c>
    </row>
    <row r="95" spans="1:3" x14ac:dyDescent="0.3">
      <c r="A95" s="127">
        <v>43510</v>
      </c>
      <c r="B95">
        <v>9.5158459999999998</v>
      </c>
      <c r="C95">
        <v>9142.7099610000005</v>
      </c>
    </row>
    <row r="96" spans="1:3" x14ac:dyDescent="0.3">
      <c r="A96" s="127">
        <v>43511</v>
      </c>
      <c r="B96">
        <v>9.5872600000000006</v>
      </c>
      <c r="C96">
        <v>9242.1201170000004</v>
      </c>
    </row>
    <row r="97" spans="1:3" x14ac:dyDescent="0.3">
      <c r="A97" s="127">
        <v>43514</v>
      </c>
      <c r="B97">
        <v>9.8193560000000009</v>
      </c>
      <c r="C97">
        <v>9267.4599610000005</v>
      </c>
    </row>
    <row r="98" spans="1:3" x14ac:dyDescent="0.3">
      <c r="A98" s="127">
        <v>43515</v>
      </c>
      <c r="B98">
        <v>9.9800360000000001</v>
      </c>
      <c r="C98">
        <v>9256.1699219999991</v>
      </c>
    </row>
    <row r="99" spans="1:3" x14ac:dyDescent="0.3">
      <c r="A99" s="127">
        <v>43516</v>
      </c>
      <c r="B99">
        <v>10.033595</v>
      </c>
      <c r="C99">
        <v>9315.6298829999996</v>
      </c>
    </row>
    <row r="100" spans="1:3" x14ac:dyDescent="0.3">
      <c r="A100" s="127">
        <v>43517</v>
      </c>
      <c r="B100">
        <v>10.354956</v>
      </c>
      <c r="C100">
        <v>9333.5703130000002</v>
      </c>
    </row>
    <row r="101" spans="1:3" x14ac:dyDescent="0.3">
      <c r="A101" s="127">
        <v>43518</v>
      </c>
      <c r="B101">
        <v>10.176422000000001</v>
      </c>
      <c r="C101">
        <v>9348.9296880000002</v>
      </c>
    </row>
    <row r="102" spans="1:3" x14ac:dyDescent="0.3">
      <c r="A102" s="127">
        <v>43521</v>
      </c>
      <c r="B102">
        <v>9.9443280000000005</v>
      </c>
      <c r="C102">
        <v>9398.3701170000004</v>
      </c>
    </row>
    <row r="103" spans="1:3" x14ac:dyDescent="0.3">
      <c r="A103" s="127">
        <v>43522</v>
      </c>
      <c r="B103">
        <v>9.2837530000000008</v>
      </c>
      <c r="C103">
        <v>9461.2099610000005</v>
      </c>
    </row>
    <row r="104" spans="1:3" x14ac:dyDescent="0.3">
      <c r="A104" s="127">
        <v>43523</v>
      </c>
      <c r="B104">
        <v>9.2480460000000004</v>
      </c>
      <c r="C104">
        <v>9412.1904300000006</v>
      </c>
    </row>
    <row r="105" spans="1:3" x14ac:dyDescent="0.3">
      <c r="A105" s="127">
        <v>43524</v>
      </c>
      <c r="B105">
        <v>9.3730209999999996</v>
      </c>
      <c r="C105">
        <v>9388.9404300000006</v>
      </c>
    </row>
    <row r="106" spans="1:3" x14ac:dyDescent="0.3">
      <c r="A106" s="127">
        <v>43525</v>
      </c>
      <c r="B106">
        <v>9.3373139999999992</v>
      </c>
      <c r="C106">
        <v>9412.0195309999999</v>
      </c>
    </row>
    <row r="107" spans="1:3" x14ac:dyDescent="0.3">
      <c r="A107" s="127">
        <v>43528</v>
      </c>
      <c r="B107">
        <v>9.5337010000000006</v>
      </c>
      <c r="C107">
        <v>9394.0498050000006</v>
      </c>
    </row>
    <row r="108" spans="1:3" x14ac:dyDescent="0.3">
      <c r="A108" s="127">
        <v>43529</v>
      </c>
      <c r="B108">
        <v>9.569407</v>
      </c>
      <c r="C108">
        <v>9399.1503909999992</v>
      </c>
    </row>
    <row r="109" spans="1:3" x14ac:dyDescent="0.3">
      <c r="A109" s="127">
        <v>43530</v>
      </c>
      <c r="B109">
        <v>9.7300869999999993</v>
      </c>
      <c r="C109">
        <v>9403.1601559999999</v>
      </c>
    </row>
    <row r="110" spans="1:3" x14ac:dyDescent="0.3">
      <c r="A110" s="127">
        <v>43531</v>
      </c>
      <c r="B110">
        <v>9.6229669999999992</v>
      </c>
      <c r="C110">
        <v>9324.5800780000009</v>
      </c>
    </row>
    <row r="111" spans="1:3" x14ac:dyDescent="0.3">
      <c r="A111" s="127">
        <v>43532</v>
      </c>
      <c r="B111">
        <v>9.5872600000000006</v>
      </c>
      <c r="C111">
        <v>9268.3603519999997</v>
      </c>
    </row>
    <row r="112" spans="1:3" x14ac:dyDescent="0.3">
      <c r="A112" s="127">
        <v>43535</v>
      </c>
      <c r="B112">
        <v>9.5515539999999994</v>
      </c>
      <c r="C112">
        <v>9341.3496090000008</v>
      </c>
    </row>
    <row r="113" spans="1:3" x14ac:dyDescent="0.3">
      <c r="A113" s="127">
        <v>43536</v>
      </c>
      <c r="B113">
        <v>9.5872600000000006</v>
      </c>
      <c r="C113">
        <v>9331.6201170000004</v>
      </c>
    </row>
    <row r="114" spans="1:3" x14ac:dyDescent="0.3">
      <c r="A114" s="127">
        <v>43537</v>
      </c>
      <c r="B114">
        <v>9.4979940000000003</v>
      </c>
      <c r="C114">
        <v>9387.4296880000002</v>
      </c>
    </row>
    <row r="115" spans="1:3" x14ac:dyDescent="0.3">
      <c r="A115" s="127">
        <v>43538</v>
      </c>
      <c r="B115">
        <v>9.569407</v>
      </c>
      <c r="C115">
        <v>9481.9003909999992</v>
      </c>
    </row>
    <row r="116" spans="1:3" x14ac:dyDescent="0.3">
      <c r="A116" s="127">
        <v>43539</v>
      </c>
      <c r="B116">
        <v>9.5337010000000006</v>
      </c>
      <c r="C116">
        <v>9483.0996090000008</v>
      </c>
    </row>
    <row r="117" spans="1:3" x14ac:dyDescent="0.3">
      <c r="A117" s="127">
        <v>43542</v>
      </c>
      <c r="B117">
        <v>9.7836479999999995</v>
      </c>
      <c r="C117">
        <v>9496.9296880000002</v>
      </c>
    </row>
    <row r="118" spans="1:3" x14ac:dyDescent="0.3">
      <c r="A118" s="127">
        <v>43543</v>
      </c>
      <c r="B118">
        <v>9.7300869999999993</v>
      </c>
      <c r="C118">
        <v>9525.9199219999991</v>
      </c>
    </row>
    <row r="119" spans="1:3" x14ac:dyDescent="0.3">
      <c r="A119" s="127">
        <v>43544</v>
      </c>
      <c r="B119">
        <v>9.7657950000000007</v>
      </c>
      <c r="C119">
        <v>9463.3203130000002</v>
      </c>
    </row>
    <row r="120" spans="1:3" x14ac:dyDescent="0.3">
      <c r="A120" s="127">
        <v>43545</v>
      </c>
      <c r="B120">
        <v>9.7300869999999993</v>
      </c>
      <c r="C120">
        <v>9454.0498050000006</v>
      </c>
    </row>
    <row r="121" spans="1:3" x14ac:dyDescent="0.3">
      <c r="A121" s="127">
        <v>43546</v>
      </c>
      <c r="B121">
        <v>9.7300869999999993</v>
      </c>
      <c r="C121">
        <v>9319.4199219999991</v>
      </c>
    </row>
    <row r="122" spans="1:3" x14ac:dyDescent="0.3">
      <c r="A122" s="127">
        <v>43549</v>
      </c>
      <c r="B122">
        <v>9.6051149999999996</v>
      </c>
      <c r="C122">
        <v>9305.5</v>
      </c>
    </row>
    <row r="123" spans="1:3" x14ac:dyDescent="0.3">
      <c r="A123" s="127">
        <v>43550</v>
      </c>
      <c r="B123">
        <v>9.4622869999999999</v>
      </c>
      <c r="C123">
        <v>9389.2998050000006</v>
      </c>
    </row>
    <row r="124" spans="1:3" x14ac:dyDescent="0.3">
      <c r="A124" s="127">
        <v>43551</v>
      </c>
      <c r="B124">
        <v>9.1944870000000005</v>
      </c>
      <c r="C124">
        <v>9390.5898440000001</v>
      </c>
    </row>
    <row r="125" spans="1:3" x14ac:dyDescent="0.3">
      <c r="A125" s="127">
        <v>43552</v>
      </c>
      <c r="B125">
        <v>9.2301929999999999</v>
      </c>
      <c r="C125">
        <v>9405.9296880000002</v>
      </c>
    </row>
    <row r="126" spans="1:3" x14ac:dyDescent="0.3">
      <c r="A126" s="127">
        <v>43553</v>
      </c>
      <c r="B126">
        <v>9.1230729999999998</v>
      </c>
      <c r="C126">
        <v>9477.8398440000001</v>
      </c>
    </row>
    <row r="127" spans="1:3" x14ac:dyDescent="0.3">
      <c r="A127" s="127">
        <v>43556</v>
      </c>
      <c r="B127">
        <v>9.1766330000000007</v>
      </c>
      <c r="C127">
        <v>9538.1103519999997</v>
      </c>
    </row>
    <row r="128" spans="1:3" x14ac:dyDescent="0.3">
      <c r="A128" s="127">
        <v>43557</v>
      </c>
      <c r="B128">
        <v>9.105219</v>
      </c>
      <c r="C128">
        <v>9536.5703130000002</v>
      </c>
    </row>
    <row r="129" spans="1:3" x14ac:dyDescent="0.3">
      <c r="A129" s="127">
        <v>43558</v>
      </c>
      <c r="B129">
        <v>9.105219</v>
      </c>
      <c r="C129">
        <v>9570.0898440000001</v>
      </c>
    </row>
    <row r="130" spans="1:3" x14ac:dyDescent="0.3">
      <c r="A130" s="127">
        <v>43559</v>
      </c>
      <c r="B130">
        <v>9.0516609999999993</v>
      </c>
      <c r="C130">
        <v>9563.7099610000005</v>
      </c>
    </row>
    <row r="131" spans="1:3" x14ac:dyDescent="0.3">
      <c r="A131" s="127">
        <v>43560</v>
      </c>
      <c r="B131">
        <v>9.0338069999999995</v>
      </c>
      <c r="C131">
        <v>9541.1503909999992</v>
      </c>
    </row>
    <row r="132" spans="1:3" x14ac:dyDescent="0.3">
      <c r="A132" s="127">
        <v>43563</v>
      </c>
      <c r="B132">
        <v>8.9980989999999998</v>
      </c>
      <c r="C132">
        <v>9547.3300780000009</v>
      </c>
    </row>
    <row r="133" spans="1:3" x14ac:dyDescent="0.3">
      <c r="A133" s="127">
        <v>43564</v>
      </c>
      <c r="B133">
        <v>8.9802470000000003</v>
      </c>
      <c r="C133">
        <v>9582.2197269999997</v>
      </c>
    </row>
    <row r="134" spans="1:3" x14ac:dyDescent="0.3">
      <c r="A134" s="127">
        <v>43565</v>
      </c>
      <c r="B134">
        <v>8.9623930000000005</v>
      </c>
      <c r="C134">
        <v>9556.3095699999994</v>
      </c>
    </row>
    <row r="135" spans="1:3" x14ac:dyDescent="0.3">
      <c r="A135" s="127">
        <v>43566</v>
      </c>
      <c r="B135">
        <v>8.9445399999999999</v>
      </c>
      <c r="C135">
        <v>9549.2597659999992</v>
      </c>
    </row>
    <row r="136" spans="1:3" x14ac:dyDescent="0.3">
      <c r="A136" s="127">
        <v>43567</v>
      </c>
      <c r="B136">
        <v>8.9266860000000001</v>
      </c>
      <c r="C136">
        <v>9484.9101559999999</v>
      </c>
    </row>
    <row r="137" spans="1:3" x14ac:dyDescent="0.3">
      <c r="A137" s="127">
        <v>43570</v>
      </c>
      <c r="B137">
        <v>9.3614580000000007</v>
      </c>
      <c r="C137">
        <v>9513.7099610000005</v>
      </c>
    </row>
    <row r="138" spans="1:3" x14ac:dyDescent="0.3">
      <c r="A138" s="127">
        <v>43571</v>
      </c>
      <c r="B138">
        <v>9.5094639999999995</v>
      </c>
      <c r="C138">
        <v>9579.8496090000008</v>
      </c>
    </row>
    <row r="139" spans="1:3" x14ac:dyDescent="0.3">
      <c r="A139" s="127">
        <v>43572</v>
      </c>
      <c r="B139">
        <v>9.3429570000000002</v>
      </c>
      <c r="C139">
        <v>9596.5996090000008</v>
      </c>
    </row>
    <row r="140" spans="1:3" x14ac:dyDescent="0.3">
      <c r="A140" s="127">
        <v>43573</v>
      </c>
      <c r="B140">
        <v>9.3429570000000002</v>
      </c>
      <c r="C140">
        <v>9571.2197269999997</v>
      </c>
    </row>
    <row r="141" spans="1:3" x14ac:dyDescent="0.3">
      <c r="A141" s="127">
        <v>43578</v>
      </c>
      <c r="B141">
        <v>9.7166750000000004</v>
      </c>
      <c r="C141">
        <v>9635.0703130000002</v>
      </c>
    </row>
    <row r="142" spans="1:3" x14ac:dyDescent="0.3">
      <c r="A142" s="127">
        <v>43579</v>
      </c>
      <c r="B142">
        <v>9.7741699999999998</v>
      </c>
      <c r="C142">
        <v>9655.6699219999991</v>
      </c>
    </row>
    <row r="143" spans="1:3" x14ac:dyDescent="0.3">
      <c r="A143" s="127">
        <v>43580</v>
      </c>
      <c r="B143">
        <v>9.6591799999999992</v>
      </c>
      <c r="C143">
        <v>9694.0595699999994</v>
      </c>
    </row>
    <row r="144" spans="1:3" x14ac:dyDescent="0.3">
      <c r="A144" s="127">
        <v>43581</v>
      </c>
      <c r="B144">
        <v>9.5729369999999996</v>
      </c>
      <c r="C144">
        <v>9724.2695309999999</v>
      </c>
    </row>
    <row r="145" spans="1:3" x14ac:dyDescent="0.3">
      <c r="A145" s="127">
        <v>43584</v>
      </c>
      <c r="B145">
        <v>9.4771129999999992</v>
      </c>
      <c r="C145">
        <v>9740.4804690000001</v>
      </c>
    </row>
    <row r="146" spans="1:3" x14ac:dyDescent="0.3">
      <c r="A146" s="127">
        <v>43585</v>
      </c>
      <c r="B146">
        <v>9.5058600000000002</v>
      </c>
      <c r="C146">
        <v>9769.7402340000008</v>
      </c>
    </row>
    <row r="147" spans="1:3" x14ac:dyDescent="0.3">
      <c r="A147" s="127">
        <v>43587</v>
      </c>
      <c r="B147">
        <v>9.793336</v>
      </c>
      <c r="C147">
        <v>9746.0595699999994</v>
      </c>
    </row>
    <row r="148" spans="1:3" x14ac:dyDescent="0.3">
      <c r="A148" s="127">
        <v>43588</v>
      </c>
      <c r="B148">
        <v>10.004149999999999</v>
      </c>
      <c r="C148">
        <v>9741.9902340000008</v>
      </c>
    </row>
    <row r="149" spans="1:3" x14ac:dyDescent="0.3">
      <c r="A149" s="127">
        <v>43591</v>
      </c>
      <c r="B149">
        <v>10.119141000000001</v>
      </c>
      <c r="C149">
        <v>9657.2402340000008</v>
      </c>
    </row>
    <row r="150" spans="1:3" x14ac:dyDescent="0.3">
      <c r="A150" s="127">
        <v>43592</v>
      </c>
      <c r="B150">
        <v>10.272461</v>
      </c>
      <c r="C150">
        <v>9577.3798829999996</v>
      </c>
    </row>
    <row r="151" spans="1:3" x14ac:dyDescent="0.3">
      <c r="A151" s="127">
        <v>43593</v>
      </c>
      <c r="B151">
        <v>10.425781000000001</v>
      </c>
      <c r="C151">
        <v>9621.9599610000005</v>
      </c>
    </row>
    <row r="152" spans="1:3" x14ac:dyDescent="0.3">
      <c r="A152" s="127">
        <v>43594</v>
      </c>
      <c r="B152">
        <v>10.157472</v>
      </c>
      <c r="C152">
        <v>9430.2998050000006</v>
      </c>
    </row>
    <row r="153" spans="1:3" x14ac:dyDescent="0.3">
      <c r="A153" s="127">
        <v>43595</v>
      </c>
      <c r="B153">
        <v>10.080812</v>
      </c>
      <c r="C153">
        <v>9472.8300780000009</v>
      </c>
    </row>
    <row r="154" spans="1:3" x14ac:dyDescent="0.3">
      <c r="A154" s="127">
        <v>43598</v>
      </c>
      <c r="B154">
        <v>10.214966</v>
      </c>
      <c r="C154">
        <v>9363.1796880000002</v>
      </c>
    </row>
    <row r="155" spans="1:3" x14ac:dyDescent="0.3">
      <c r="A155" s="127">
        <v>43599</v>
      </c>
      <c r="B155">
        <v>10.406616</v>
      </c>
      <c r="C155">
        <v>9404.0800780000009</v>
      </c>
    </row>
    <row r="156" spans="1:3" x14ac:dyDescent="0.3">
      <c r="A156" s="127">
        <v>43600</v>
      </c>
      <c r="B156">
        <v>10.272461</v>
      </c>
      <c r="C156">
        <v>9480.7597659999992</v>
      </c>
    </row>
    <row r="157" spans="1:3" x14ac:dyDescent="0.3">
      <c r="A157" s="127">
        <v>43601</v>
      </c>
      <c r="B157">
        <v>10.234132000000001</v>
      </c>
      <c r="C157">
        <v>9660.5898440000001</v>
      </c>
    </row>
    <row r="158" spans="1:3" x14ac:dyDescent="0.3">
      <c r="A158" s="127">
        <v>43602</v>
      </c>
      <c r="B158">
        <v>10.406616</v>
      </c>
      <c r="C158">
        <v>9659.0800780000009</v>
      </c>
    </row>
    <row r="159" spans="1:3" x14ac:dyDescent="0.3">
      <c r="A159" s="127">
        <v>43605</v>
      </c>
      <c r="B159">
        <v>10.195802</v>
      </c>
      <c r="C159">
        <v>9582.0800780000009</v>
      </c>
    </row>
    <row r="160" spans="1:3" x14ac:dyDescent="0.3">
      <c r="A160" s="127">
        <v>43606</v>
      </c>
      <c r="B160">
        <v>10.195802</v>
      </c>
      <c r="C160">
        <v>9624.1601559999999</v>
      </c>
    </row>
    <row r="161" spans="1:3" x14ac:dyDescent="0.3">
      <c r="A161" s="127">
        <v>43607</v>
      </c>
      <c r="B161">
        <v>10.099977000000001</v>
      </c>
      <c r="C161">
        <v>9645.0400389999995</v>
      </c>
    </row>
    <row r="162" spans="1:3" x14ac:dyDescent="0.3">
      <c r="A162" s="127">
        <v>43608</v>
      </c>
      <c r="B162">
        <v>9.9083260000000006</v>
      </c>
      <c r="C162">
        <v>9594.3095699999994</v>
      </c>
    </row>
    <row r="163" spans="1:3" x14ac:dyDescent="0.3">
      <c r="A163" s="127">
        <v>43609</v>
      </c>
      <c r="B163">
        <v>9.9274900000000006</v>
      </c>
      <c r="C163">
        <v>9666.8896480000003</v>
      </c>
    </row>
    <row r="164" spans="1:3" x14ac:dyDescent="0.3">
      <c r="A164" s="127">
        <v>43612</v>
      </c>
      <c r="B164">
        <v>10.004149999999999</v>
      </c>
      <c r="C164">
        <v>9712.9599610000005</v>
      </c>
    </row>
    <row r="165" spans="1:3" x14ac:dyDescent="0.3">
      <c r="A165" s="127">
        <v>43613</v>
      </c>
      <c r="B165">
        <v>10.061646</v>
      </c>
      <c r="C165">
        <v>9680.8701170000004</v>
      </c>
    </row>
    <row r="166" spans="1:3" x14ac:dyDescent="0.3">
      <c r="A166" s="127">
        <v>43614</v>
      </c>
      <c r="B166">
        <v>10.042479999999999</v>
      </c>
      <c r="C166">
        <v>9541.9697269999997</v>
      </c>
    </row>
    <row r="167" spans="1:3" x14ac:dyDescent="0.3">
      <c r="A167" s="127">
        <v>43616</v>
      </c>
      <c r="B167">
        <v>9.8699949999999994</v>
      </c>
      <c r="C167">
        <v>9523.9804690000001</v>
      </c>
    </row>
    <row r="168" spans="1:3" x14ac:dyDescent="0.3">
      <c r="A168" s="127">
        <v>43619</v>
      </c>
      <c r="B168">
        <v>9.8508300000000002</v>
      </c>
      <c r="C168">
        <v>9602.7304690000001</v>
      </c>
    </row>
    <row r="169" spans="1:3" x14ac:dyDescent="0.3">
      <c r="A169" s="127">
        <v>43620</v>
      </c>
      <c r="B169">
        <v>9.8699949999999994</v>
      </c>
      <c r="C169">
        <v>9597.7099610000005</v>
      </c>
    </row>
    <row r="170" spans="1:3" x14ac:dyDescent="0.3">
      <c r="A170" s="127">
        <v>43621</v>
      </c>
      <c r="B170">
        <v>9.8508300000000002</v>
      </c>
      <c r="C170">
        <v>9658.6201170000004</v>
      </c>
    </row>
    <row r="171" spans="1:3" x14ac:dyDescent="0.3">
      <c r="A171" s="127">
        <v>43622</v>
      </c>
      <c r="B171">
        <v>9.8699949999999994</v>
      </c>
      <c r="C171">
        <v>9682.2900389999995</v>
      </c>
    </row>
    <row r="172" spans="1:3" x14ac:dyDescent="0.3">
      <c r="A172" s="127">
        <v>43623</v>
      </c>
      <c r="B172">
        <v>10.004149999999999</v>
      </c>
      <c r="C172">
        <v>9749.1298829999996</v>
      </c>
    </row>
    <row r="173" spans="1:3" x14ac:dyDescent="0.3">
      <c r="A173" s="127">
        <v>43627</v>
      </c>
      <c r="B173">
        <v>10.099977000000001</v>
      </c>
      <c r="C173">
        <v>9835.8701170000004</v>
      </c>
    </row>
    <row r="174" spans="1:3" x14ac:dyDescent="0.3">
      <c r="A174" s="127">
        <v>43628</v>
      </c>
      <c r="B174">
        <v>10.214966</v>
      </c>
      <c r="C174">
        <v>9859.7304690000001</v>
      </c>
    </row>
    <row r="175" spans="1:3" x14ac:dyDescent="0.3">
      <c r="A175" s="127">
        <v>43629</v>
      </c>
      <c r="B175">
        <v>10.195802</v>
      </c>
      <c r="C175">
        <v>9861.8300780000009</v>
      </c>
    </row>
    <row r="176" spans="1:3" x14ac:dyDescent="0.3">
      <c r="A176" s="127">
        <v>43630</v>
      </c>
      <c r="B176">
        <v>10.157472</v>
      </c>
      <c r="C176">
        <v>9847.6103519999997</v>
      </c>
    </row>
    <row r="177" spans="1:3" x14ac:dyDescent="0.3">
      <c r="A177" s="127">
        <v>43633</v>
      </c>
      <c r="B177">
        <v>10.195802</v>
      </c>
      <c r="C177">
        <v>9851.5703130000002</v>
      </c>
    </row>
    <row r="178" spans="1:3" x14ac:dyDescent="0.3">
      <c r="A178" s="127">
        <v>43634</v>
      </c>
      <c r="B178">
        <v>10.483276</v>
      </c>
      <c r="C178">
        <v>9988.5498050000006</v>
      </c>
    </row>
    <row r="179" spans="1:3" x14ac:dyDescent="0.3">
      <c r="A179" s="127">
        <v>43635</v>
      </c>
      <c r="B179">
        <v>10.406616</v>
      </c>
      <c r="C179">
        <v>9961.6503909999992</v>
      </c>
    </row>
    <row r="180" spans="1:3" x14ac:dyDescent="0.3">
      <c r="A180" s="127">
        <v>43636</v>
      </c>
      <c r="B180">
        <v>10.272461</v>
      </c>
      <c r="C180">
        <v>9978.5195309999999</v>
      </c>
    </row>
    <row r="181" spans="1:3" x14ac:dyDescent="0.3">
      <c r="A181" s="127">
        <v>43637</v>
      </c>
      <c r="B181">
        <v>10.483276</v>
      </c>
      <c r="C181">
        <v>9922.8300780000009</v>
      </c>
    </row>
    <row r="182" spans="1:3" x14ac:dyDescent="0.3">
      <c r="A182" s="127">
        <v>43640</v>
      </c>
      <c r="B182">
        <v>10.502442</v>
      </c>
      <c r="C182">
        <v>9898.8496090000008</v>
      </c>
    </row>
    <row r="183" spans="1:3" x14ac:dyDescent="0.3">
      <c r="A183" s="127">
        <v>43641</v>
      </c>
      <c r="B183">
        <v>10.406616</v>
      </c>
      <c r="C183">
        <v>9898.9003909999992</v>
      </c>
    </row>
    <row r="184" spans="1:3" x14ac:dyDescent="0.3">
      <c r="A184" s="127">
        <v>43642</v>
      </c>
      <c r="B184">
        <v>10.444946</v>
      </c>
      <c r="C184">
        <v>9838.1298829999996</v>
      </c>
    </row>
    <row r="185" spans="1:3" x14ac:dyDescent="0.3">
      <c r="A185" s="127">
        <v>43643</v>
      </c>
      <c r="B185">
        <v>10.483276</v>
      </c>
      <c r="C185">
        <v>9859.7597659999992</v>
      </c>
    </row>
    <row r="186" spans="1:3" x14ac:dyDescent="0.3">
      <c r="A186" s="127">
        <v>43644</v>
      </c>
      <c r="B186">
        <v>10.751588</v>
      </c>
      <c r="C186">
        <v>9898.2402340000008</v>
      </c>
    </row>
    <row r="187" spans="1:3" x14ac:dyDescent="0.3">
      <c r="A187" s="127">
        <v>43647</v>
      </c>
      <c r="B187">
        <v>10.617432000000001</v>
      </c>
      <c r="C187">
        <v>9970</v>
      </c>
    </row>
    <row r="188" spans="1:3" x14ac:dyDescent="0.3">
      <c r="A188" s="127">
        <v>43648</v>
      </c>
      <c r="B188">
        <v>10.540770999999999</v>
      </c>
      <c r="C188">
        <v>10020.929688</v>
      </c>
    </row>
    <row r="189" spans="1:3" x14ac:dyDescent="0.3">
      <c r="A189" s="127">
        <v>43649</v>
      </c>
      <c r="B189">
        <v>10.521606</v>
      </c>
      <c r="C189">
        <v>10066.530273</v>
      </c>
    </row>
    <row r="190" spans="1:3" x14ac:dyDescent="0.3">
      <c r="A190" s="127">
        <v>43650</v>
      </c>
      <c r="B190">
        <v>10.349121999999999</v>
      </c>
      <c r="C190">
        <v>10066.480469</v>
      </c>
    </row>
    <row r="191" spans="1:3" x14ac:dyDescent="0.3">
      <c r="A191" s="127">
        <v>43651</v>
      </c>
      <c r="B191">
        <v>10.214966</v>
      </c>
      <c r="C191">
        <v>9980.2197269999997</v>
      </c>
    </row>
    <row r="192" spans="1:3" x14ac:dyDescent="0.3">
      <c r="A192" s="127">
        <v>43654</v>
      </c>
      <c r="B192">
        <v>10.349121999999999</v>
      </c>
      <c r="C192">
        <v>9994.0996090000008</v>
      </c>
    </row>
    <row r="193" spans="1:3" x14ac:dyDescent="0.3">
      <c r="A193" s="127">
        <v>43655</v>
      </c>
      <c r="B193">
        <v>10.329955999999999</v>
      </c>
      <c r="C193">
        <v>9961.3398440000001</v>
      </c>
    </row>
    <row r="194" spans="1:3" x14ac:dyDescent="0.3">
      <c r="A194" s="127">
        <v>43656</v>
      </c>
      <c r="B194">
        <v>10.310791999999999</v>
      </c>
      <c r="C194">
        <v>9937.5595699999994</v>
      </c>
    </row>
    <row r="195" spans="1:3" x14ac:dyDescent="0.3">
      <c r="A195" s="127">
        <v>43657</v>
      </c>
      <c r="B195">
        <v>10.329955999999999</v>
      </c>
      <c r="C195">
        <v>9879.5302730000003</v>
      </c>
    </row>
    <row r="196" spans="1:3" x14ac:dyDescent="0.3">
      <c r="A196" s="127">
        <v>43658</v>
      </c>
      <c r="B196">
        <v>10.329955999999999</v>
      </c>
      <c r="C196">
        <v>9762.9804690000001</v>
      </c>
    </row>
    <row r="197" spans="1:3" x14ac:dyDescent="0.3">
      <c r="A197" s="127">
        <v>43661</v>
      </c>
      <c r="B197">
        <v>10.444946</v>
      </c>
      <c r="C197">
        <v>9808.5800780000009</v>
      </c>
    </row>
    <row r="198" spans="1:3" x14ac:dyDescent="0.3">
      <c r="A198" s="127">
        <v>43662</v>
      </c>
      <c r="B198">
        <v>10.579102000000001</v>
      </c>
      <c r="C198">
        <v>9850.5195309999999</v>
      </c>
    </row>
    <row r="199" spans="1:3" x14ac:dyDescent="0.3">
      <c r="A199" s="127">
        <v>43663</v>
      </c>
      <c r="B199">
        <v>10.617432000000001</v>
      </c>
      <c r="C199">
        <v>9942.0097659999992</v>
      </c>
    </row>
    <row r="200" spans="1:3" x14ac:dyDescent="0.3">
      <c r="A200" s="127">
        <v>43664</v>
      </c>
      <c r="B200">
        <v>10.579102000000001</v>
      </c>
      <c r="C200">
        <v>10010.150390999999</v>
      </c>
    </row>
    <row r="201" spans="1:3" x14ac:dyDescent="0.3">
      <c r="A201" s="127">
        <v>43665</v>
      </c>
      <c r="B201">
        <v>10.674927</v>
      </c>
      <c r="C201">
        <v>9937.0302730000003</v>
      </c>
    </row>
    <row r="202" spans="1:3" x14ac:dyDescent="0.3">
      <c r="A202" s="127">
        <v>43668</v>
      </c>
      <c r="B202">
        <v>10.579102000000001</v>
      </c>
      <c r="C202">
        <v>9922.3701170000004</v>
      </c>
    </row>
    <row r="203" spans="1:3" x14ac:dyDescent="0.3">
      <c r="A203" s="127">
        <v>43669</v>
      </c>
      <c r="B203">
        <v>10.636597999999999</v>
      </c>
      <c r="C203">
        <v>9965.1503909999992</v>
      </c>
    </row>
    <row r="204" spans="1:3" x14ac:dyDescent="0.3">
      <c r="A204" s="127">
        <v>43670</v>
      </c>
      <c r="B204">
        <v>10.713258</v>
      </c>
      <c r="C204">
        <v>9907.6796880000002</v>
      </c>
    </row>
    <row r="205" spans="1:3" x14ac:dyDescent="0.3">
      <c r="A205" s="127">
        <v>43671</v>
      </c>
      <c r="B205">
        <v>10.770752</v>
      </c>
      <c r="C205">
        <v>9877.0302730000003</v>
      </c>
    </row>
    <row r="206" spans="1:3" x14ac:dyDescent="0.3">
      <c r="A206" s="127">
        <v>43672</v>
      </c>
      <c r="B206">
        <v>10.828246999999999</v>
      </c>
      <c r="C206">
        <v>9968.0800780000009</v>
      </c>
    </row>
    <row r="207" spans="1:3" x14ac:dyDescent="0.3">
      <c r="A207" s="127">
        <v>43675</v>
      </c>
      <c r="B207">
        <v>10.770752</v>
      </c>
      <c r="C207">
        <v>9970.8701170000004</v>
      </c>
    </row>
    <row r="208" spans="1:3" x14ac:dyDescent="0.3">
      <c r="A208" s="127">
        <v>43676</v>
      </c>
      <c r="B208">
        <v>11.211549</v>
      </c>
      <c r="C208">
        <v>9890.9003909999992</v>
      </c>
    </row>
    <row r="209" spans="1:3" x14ac:dyDescent="0.3">
      <c r="A209" s="127">
        <v>43677</v>
      </c>
      <c r="B209">
        <v>11.67151</v>
      </c>
      <c r="C209">
        <v>9919.2695309999999</v>
      </c>
    </row>
    <row r="210" spans="1:3" x14ac:dyDescent="0.3">
      <c r="A210" s="127">
        <v>43679</v>
      </c>
      <c r="B210">
        <v>11.729004</v>
      </c>
      <c r="C210">
        <v>9803.6904300000006</v>
      </c>
    </row>
    <row r="211" spans="1:3" x14ac:dyDescent="0.3">
      <c r="A211" s="127">
        <v>43682</v>
      </c>
      <c r="B211">
        <v>11.70984</v>
      </c>
      <c r="C211">
        <v>9599.4296880000002</v>
      </c>
    </row>
    <row r="212" spans="1:3" x14ac:dyDescent="0.3">
      <c r="A212" s="127">
        <v>43683</v>
      </c>
      <c r="B212">
        <v>11.70984</v>
      </c>
      <c r="C212">
        <v>9553.8798829999996</v>
      </c>
    </row>
    <row r="213" spans="1:3" x14ac:dyDescent="0.3">
      <c r="A213" s="127">
        <v>43684</v>
      </c>
      <c r="B213">
        <v>11.690674</v>
      </c>
      <c r="C213">
        <v>9533.9804690000001</v>
      </c>
    </row>
    <row r="214" spans="1:3" x14ac:dyDescent="0.3">
      <c r="A214" s="127">
        <v>43685</v>
      </c>
      <c r="B214">
        <v>11.978149999999999</v>
      </c>
      <c r="C214">
        <v>9751.5498050000006</v>
      </c>
    </row>
    <row r="215" spans="1:3" x14ac:dyDescent="0.3">
      <c r="A215" s="127">
        <v>43686</v>
      </c>
      <c r="B215">
        <v>11.786498999999999</v>
      </c>
      <c r="C215">
        <v>9749.9199219999991</v>
      </c>
    </row>
    <row r="216" spans="1:3" x14ac:dyDescent="0.3">
      <c r="A216" s="127">
        <v>43689</v>
      </c>
      <c r="B216">
        <v>11.690674</v>
      </c>
      <c r="C216">
        <v>9760.0195309999999</v>
      </c>
    </row>
    <row r="217" spans="1:3" x14ac:dyDescent="0.3">
      <c r="A217" s="127">
        <v>43690</v>
      </c>
      <c r="B217">
        <v>11.633179</v>
      </c>
      <c r="C217">
        <v>9786.2402340000008</v>
      </c>
    </row>
    <row r="218" spans="1:3" x14ac:dyDescent="0.3">
      <c r="A218" s="127">
        <v>43691</v>
      </c>
      <c r="B218">
        <v>11.690674</v>
      </c>
      <c r="C218">
        <v>9628.4804690000001</v>
      </c>
    </row>
    <row r="219" spans="1:3" x14ac:dyDescent="0.3">
      <c r="A219" s="127">
        <v>43692</v>
      </c>
      <c r="B219">
        <v>11.767334</v>
      </c>
      <c r="C219">
        <v>9606.2597659999992</v>
      </c>
    </row>
    <row r="220" spans="1:3" x14ac:dyDescent="0.3">
      <c r="A220" s="127">
        <v>43693</v>
      </c>
      <c r="B220">
        <v>11.882324000000001</v>
      </c>
      <c r="C220">
        <v>9728.3896480000003</v>
      </c>
    </row>
    <row r="221" spans="1:3" x14ac:dyDescent="0.3">
      <c r="A221" s="127">
        <v>43696</v>
      </c>
      <c r="B221">
        <v>12.05481</v>
      </c>
      <c r="C221">
        <v>9825.5898440000001</v>
      </c>
    </row>
    <row r="222" spans="1:3" x14ac:dyDescent="0.3">
      <c r="A222" s="127">
        <v>43697</v>
      </c>
      <c r="B222">
        <v>11.901490000000001</v>
      </c>
      <c r="C222">
        <v>9770.3896480000003</v>
      </c>
    </row>
    <row r="223" spans="1:3" x14ac:dyDescent="0.3">
      <c r="A223" s="127">
        <v>43698</v>
      </c>
      <c r="B223">
        <v>12.169801</v>
      </c>
      <c r="C223">
        <v>9848.1103519999997</v>
      </c>
    </row>
    <row r="224" spans="1:3" x14ac:dyDescent="0.3">
      <c r="A224" s="127">
        <v>43699</v>
      </c>
      <c r="B224">
        <v>12.05481</v>
      </c>
      <c r="C224">
        <v>9805.5</v>
      </c>
    </row>
    <row r="225" spans="1:3" x14ac:dyDescent="0.3">
      <c r="A225" s="127">
        <v>43700</v>
      </c>
      <c r="B225">
        <v>12.13147</v>
      </c>
      <c r="C225">
        <v>9744.9804690000001</v>
      </c>
    </row>
    <row r="226" spans="1:3" x14ac:dyDescent="0.3">
      <c r="A226" s="127">
        <v>43703</v>
      </c>
      <c r="B226">
        <v>12.05481</v>
      </c>
      <c r="C226">
        <v>9715.8300780000009</v>
      </c>
    </row>
    <row r="227" spans="1:3" x14ac:dyDescent="0.3">
      <c r="A227" s="127">
        <v>43704</v>
      </c>
      <c r="B227">
        <v>12.169801</v>
      </c>
      <c r="C227">
        <v>9786.0800780000009</v>
      </c>
    </row>
    <row r="228" spans="1:3" x14ac:dyDescent="0.3">
      <c r="A228" s="127">
        <v>43705</v>
      </c>
      <c r="B228">
        <v>12.303955999999999</v>
      </c>
      <c r="C228">
        <v>9758.1904300000006</v>
      </c>
    </row>
    <row r="229" spans="1:3" x14ac:dyDescent="0.3">
      <c r="A229" s="127">
        <v>43706</v>
      </c>
      <c r="B229">
        <v>12.36145</v>
      </c>
      <c r="C229">
        <v>9838.4804690000001</v>
      </c>
    </row>
    <row r="230" spans="1:3" x14ac:dyDescent="0.3">
      <c r="A230" s="127">
        <v>43707</v>
      </c>
      <c r="B230">
        <v>12.514771</v>
      </c>
      <c r="C230">
        <v>9895.6503909999992</v>
      </c>
    </row>
    <row r="231" spans="1:3" x14ac:dyDescent="0.3">
      <c r="A231" s="127">
        <v>43710</v>
      </c>
      <c r="B231">
        <v>12.43811</v>
      </c>
      <c r="C231">
        <v>9924.5400389999995</v>
      </c>
    </row>
    <row r="232" spans="1:3" x14ac:dyDescent="0.3">
      <c r="A232" s="127">
        <v>43711</v>
      </c>
      <c r="B232">
        <v>12.13147</v>
      </c>
      <c r="C232">
        <v>9852.7001949999994</v>
      </c>
    </row>
    <row r="233" spans="1:3" x14ac:dyDescent="0.3">
      <c r="A233" s="127">
        <v>43712</v>
      </c>
      <c r="B233">
        <v>11.863160000000001</v>
      </c>
      <c r="C233">
        <v>9894.5996090000008</v>
      </c>
    </row>
    <row r="234" spans="1:3" x14ac:dyDescent="0.3">
      <c r="A234" s="127">
        <v>43713</v>
      </c>
      <c r="B234">
        <v>11.978149999999999</v>
      </c>
      <c r="C234">
        <v>9983.0703130000002</v>
      </c>
    </row>
    <row r="235" spans="1:3" x14ac:dyDescent="0.3">
      <c r="A235" s="127">
        <v>43714</v>
      </c>
      <c r="B235">
        <v>11.978149999999999</v>
      </c>
      <c r="C235">
        <v>10073.820313</v>
      </c>
    </row>
    <row r="236" spans="1:3" x14ac:dyDescent="0.3">
      <c r="A236" s="127">
        <v>43717</v>
      </c>
      <c r="B236">
        <v>12.13147</v>
      </c>
      <c r="C236">
        <v>10059.370117</v>
      </c>
    </row>
    <row r="237" spans="1:3" x14ac:dyDescent="0.3">
      <c r="A237" s="127">
        <v>43718</v>
      </c>
      <c r="B237">
        <v>12.01648</v>
      </c>
      <c r="C237">
        <v>10020.480469</v>
      </c>
    </row>
    <row r="238" spans="1:3" x14ac:dyDescent="0.3">
      <c r="A238" s="127">
        <v>43719</v>
      </c>
      <c r="B238">
        <v>12.188965</v>
      </c>
      <c r="C238">
        <v>10098.589844</v>
      </c>
    </row>
    <row r="239" spans="1:3" x14ac:dyDescent="0.3">
      <c r="A239" s="127">
        <v>43720</v>
      </c>
      <c r="B239">
        <v>12.150636</v>
      </c>
      <c r="C239">
        <v>10094.089844</v>
      </c>
    </row>
    <row r="240" spans="1:3" x14ac:dyDescent="0.3">
      <c r="A240" s="127">
        <v>43721</v>
      </c>
      <c r="B240">
        <v>12.246460000000001</v>
      </c>
      <c r="C240">
        <v>10047.339844</v>
      </c>
    </row>
    <row r="241" spans="1:3" x14ac:dyDescent="0.3">
      <c r="A241" s="127">
        <v>43724</v>
      </c>
      <c r="B241">
        <v>12.09314</v>
      </c>
      <c r="C241">
        <v>9969.1904300000006</v>
      </c>
    </row>
    <row r="242" spans="1:3" x14ac:dyDescent="0.3">
      <c r="A242" s="127">
        <v>43725</v>
      </c>
      <c r="B242">
        <v>12.303955999999999</v>
      </c>
      <c r="C242">
        <v>10013.820313</v>
      </c>
    </row>
    <row r="243" spans="1:3" x14ac:dyDescent="0.3">
      <c r="A243" s="127">
        <v>43726</v>
      </c>
      <c r="B243">
        <v>12.514771</v>
      </c>
      <c r="C243">
        <v>10018.839844</v>
      </c>
    </row>
    <row r="244" spans="1:3" x14ac:dyDescent="0.3">
      <c r="A244" s="127">
        <v>43727</v>
      </c>
      <c r="B244">
        <v>12.668092</v>
      </c>
      <c r="C244">
        <v>10064.459961</v>
      </c>
    </row>
    <row r="245" spans="1:3" x14ac:dyDescent="0.3">
      <c r="A245" s="127">
        <v>43728</v>
      </c>
      <c r="B245">
        <v>12.859742000000001</v>
      </c>
      <c r="C245">
        <v>10056.830078000001</v>
      </c>
    </row>
    <row r="246" spans="1:3" x14ac:dyDescent="0.3">
      <c r="A246" s="127">
        <v>43731</v>
      </c>
      <c r="B246">
        <v>12.898071</v>
      </c>
      <c r="C246">
        <v>9997.3896480000003</v>
      </c>
    </row>
    <row r="247" spans="1:3" x14ac:dyDescent="0.3">
      <c r="A247" s="127">
        <v>43732</v>
      </c>
      <c r="B247">
        <v>12.936401</v>
      </c>
      <c r="C247">
        <v>9991.3095699999994</v>
      </c>
    </row>
    <row r="248" spans="1:3" x14ac:dyDescent="0.3">
      <c r="A248" s="127">
        <v>43733</v>
      </c>
      <c r="B248">
        <v>12.840576</v>
      </c>
      <c r="C248">
        <v>9914.8203130000002</v>
      </c>
    </row>
    <row r="249" spans="1:3" x14ac:dyDescent="0.3">
      <c r="A249" s="127">
        <v>43734</v>
      </c>
      <c r="B249">
        <v>12.706422</v>
      </c>
      <c r="C249">
        <v>10010.709961</v>
      </c>
    </row>
    <row r="250" spans="1:3" x14ac:dyDescent="0.3">
      <c r="A250" s="127">
        <v>43735</v>
      </c>
      <c r="B250">
        <v>12.629761999999999</v>
      </c>
      <c r="C250">
        <v>10037.809569999999</v>
      </c>
    </row>
    <row r="251" spans="1:3" x14ac:dyDescent="0.3">
      <c r="A251" s="127">
        <v>43738</v>
      </c>
      <c r="B251">
        <v>12.744751000000001</v>
      </c>
      <c r="C251">
        <v>10078.320313</v>
      </c>
    </row>
    <row r="252" spans="1:3" x14ac:dyDescent="0.3">
      <c r="A252" s="127">
        <v>43739</v>
      </c>
      <c r="B252">
        <v>12.668092</v>
      </c>
      <c r="C252">
        <v>9952.5</v>
      </c>
    </row>
    <row r="253" spans="1:3" x14ac:dyDescent="0.3">
      <c r="A253" s="127">
        <v>43740</v>
      </c>
      <c r="B253">
        <v>12.36145</v>
      </c>
      <c r="C253">
        <v>9757.2802730000003</v>
      </c>
    </row>
    <row r="254" spans="1:3" x14ac:dyDescent="0.3">
      <c r="A254" s="127">
        <v>43741</v>
      </c>
      <c r="B254">
        <v>12.380616</v>
      </c>
      <c r="C254">
        <v>9760.4404300000006</v>
      </c>
    </row>
    <row r="255" spans="1:3" x14ac:dyDescent="0.3">
      <c r="A255" s="127">
        <v>43742</v>
      </c>
      <c r="B255">
        <v>12.706422</v>
      </c>
      <c r="C255">
        <v>9827.7197269999997</v>
      </c>
    </row>
    <row r="256" spans="1:3" x14ac:dyDescent="0.3">
      <c r="A256" s="127">
        <v>43745</v>
      </c>
      <c r="B256">
        <v>12.878906000000001</v>
      </c>
      <c r="C256">
        <v>9914.0595699999994</v>
      </c>
    </row>
    <row r="257" spans="1:3" x14ac:dyDescent="0.3">
      <c r="A257" s="127">
        <v>43746</v>
      </c>
      <c r="B257">
        <v>12.898071</v>
      </c>
      <c r="C257">
        <v>9800.2402340000008</v>
      </c>
    </row>
    <row r="258" spans="1:3" x14ac:dyDescent="0.3">
      <c r="A258" s="127">
        <v>43747</v>
      </c>
      <c r="B258">
        <v>12.936401</v>
      </c>
      <c r="C258">
        <v>9830.0498050000006</v>
      </c>
    </row>
    <row r="259" spans="1:3" x14ac:dyDescent="0.3">
      <c r="A259" s="127">
        <v>43748</v>
      </c>
      <c r="B259">
        <v>13.051392</v>
      </c>
      <c r="C259">
        <v>9903.0195309999999</v>
      </c>
    </row>
    <row r="260" spans="1:3" x14ac:dyDescent="0.3">
      <c r="A260" s="127">
        <v>43749</v>
      </c>
      <c r="B260">
        <v>13.013062</v>
      </c>
      <c r="C260">
        <v>10017.389648</v>
      </c>
    </row>
    <row r="261" spans="1:3" x14ac:dyDescent="0.3">
      <c r="A261" s="127">
        <v>43752</v>
      </c>
      <c r="B261">
        <v>13.108888</v>
      </c>
      <c r="C261">
        <v>9964.2402340000008</v>
      </c>
    </row>
    <row r="262" spans="1:3" x14ac:dyDescent="0.3">
      <c r="A262" s="127">
        <v>43753</v>
      </c>
      <c r="B262">
        <v>13.492188000000001</v>
      </c>
      <c r="C262">
        <v>10048.75</v>
      </c>
    </row>
    <row r="263" spans="1:3" x14ac:dyDescent="0.3">
      <c r="A263" s="127">
        <v>43754</v>
      </c>
      <c r="B263">
        <v>13.607177999999999</v>
      </c>
      <c r="C263">
        <v>10032.490234000001</v>
      </c>
    </row>
    <row r="264" spans="1:3" x14ac:dyDescent="0.3">
      <c r="A264" s="127">
        <v>43755</v>
      </c>
      <c r="B264">
        <v>13.473023</v>
      </c>
      <c r="C264">
        <v>10008.940430000001</v>
      </c>
    </row>
    <row r="265" spans="1:3" x14ac:dyDescent="0.3">
      <c r="A265" s="127">
        <v>43756</v>
      </c>
      <c r="B265">
        <v>13.607177999999999</v>
      </c>
      <c r="C265">
        <v>9965.4902340000008</v>
      </c>
    </row>
    <row r="266" spans="1:3" x14ac:dyDescent="0.3">
      <c r="A266" s="127">
        <v>43759</v>
      </c>
      <c r="B266">
        <v>13.530519</v>
      </c>
      <c r="C266">
        <v>9991.4199219999991</v>
      </c>
    </row>
    <row r="267" spans="1:3" x14ac:dyDescent="0.3">
      <c r="A267" s="127">
        <v>43760</v>
      </c>
      <c r="B267">
        <v>13.511353</v>
      </c>
      <c r="C267">
        <v>10017.349609000001</v>
      </c>
    </row>
    <row r="268" spans="1:3" x14ac:dyDescent="0.3">
      <c r="A268" s="127">
        <v>43761</v>
      </c>
      <c r="B268">
        <v>13.549683999999999</v>
      </c>
      <c r="C268">
        <v>10023.519531</v>
      </c>
    </row>
    <row r="269" spans="1:3" x14ac:dyDescent="0.3">
      <c r="A269" s="127">
        <v>43762</v>
      </c>
      <c r="B269">
        <v>13.683839000000001</v>
      </c>
      <c r="C269">
        <v>10106.530273</v>
      </c>
    </row>
    <row r="270" spans="1:3" x14ac:dyDescent="0.3">
      <c r="A270" s="127">
        <v>43763</v>
      </c>
      <c r="B270">
        <v>13.511353</v>
      </c>
      <c r="C270">
        <v>10197.089844</v>
      </c>
    </row>
    <row r="271" spans="1:3" x14ac:dyDescent="0.3">
      <c r="A271" s="127">
        <v>43766</v>
      </c>
      <c r="B271">
        <v>13.377198</v>
      </c>
      <c r="C271">
        <v>10231.799805000001</v>
      </c>
    </row>
    <row r="272" spans="1:3" x14ac:dyDescent="0.3">
      <c r="A272" s="127">
        <v>43767</v>
      </c>
      <c r="B272">
        <v>13.108888</v>
      </c>
      <c r="C272">
        <v>10257.690430000001</v>
      </c>
    </row>
    <row r="273" spans="1:3" x14ac:dyDescent="0.3">
      <c r="A273" s="127">
        <v>43768</v>
      </c>
      <c r="B273">
        <v>13.070558</v>
      </c>
      <c r="C273">
        <v>10254.950194999999</v>
      </c>
    </row>
    <row r="274" spans="1:3" x14ac:dyDescent="0.3">
      <c r="A274" s="127">
        <v>43769</v>
      </c>
      <c r="B274">
        <v>13.070558</v>
      </c>
      <c r="C274">
        <v>10219.820313</v>
      </c>
    </row>
    <row r="275" spans="1:3" x14ac:dyDescent="0.3">
      <c r="A275" s="127">
        <v>43770</v>
      </c>
      <c r="B275">
        <v>13.185548000000001</v>
      </c>
      <c r="C275">
        <v>10252.240234000001</v>
      </c>
    </row>
    <row r="276" spans="1:3" x14ac:dyDescent="0.3">
      <c r="A276" s="127">
        <v>43773</v>
      </c>
      <c r="B276">
        <v>13.338868</v>
      </c>
      <c r="C276">
        <v>10337.070313</v>
      </c>
    </row>
    <row r="277" spans="1:3" x14ac:dyDescent="0.3">
      <c r="A277" s="127">
        <v>43774</v>
      </c>
      <c r="B277">
        <v>13.243042000000001</v>
      </c>
      <c r="C277">
        <v>10272.980469</v>
      </c>
    </row>
    <row r="278" spans="1:3" x14ac:dyDescent="0.3">
      <c r="A278" s="127">
        <v>43775</v>
      </c>
      <c r="B278">
        <v>13.128053</v>
      </c>
      <c r="C278">
        <v>10318.099609000001</v>
      </c>
    </row>
    <row r="279" spans="1:3" x14ac:dyDescent="0.3">
      <c r="A279" s="127">
        <v>43776</v>
      </c>
      <c r="B279">
        <v>13.243042000000001</v>
      </c>
      <c r="C279">
        <v>10326.780273</v>
      </c>
    </row>
    <row r="280" spans="1:3" x14ac:dyDescent="0.3">
      <c r="A280" s="127">
        <v>43777</v>
      </c>
      <c r="B280">
        <v>13.511353</v>
      </c>
      <c r="C280">
        <v>10309.230469</v>
      </c>
    </row>
    <row r="281" spans="1:3" x14ac:dyDescent="0.3">
      <c r="A281" s="127">
        <v>43780</v>
      </c>
      <c r="B281">
        <v>13.568847999999999</v>
      </c>
      <c r="C281">
        <v>10305.269531</v>
      </c>
    </row>
    <row r="282" spans="1:3" x14ac:dyDescent="0.3">
      <c r="A282" s="127">
        <v>43781</v>
      </c>
      <c r="B282">
        <v>13.300537</v>
      </c>
      <c r="C282">
        <v>10314.160156</v>
      </c>
    </row>
    <row r="283" spans="1:3" x14ac:dyDescent="0.3">
      <c r="A283" s="127">
        <v>43782</v>
      </c>
      <c r="B283">
        <v>13.453856999999999</v>
      </c>
      <c r="C283">
        <v>10299.219727</v>
      </c>
    </row>
    <row r="284" spans="1:3" x14ac:dyDescent="0.3">
      <c r="A284" s="127">
        <v>43783</v>
      </c>
      <c r="B284">
        <v>13.070558</v>
      </c>
      <c r="C284">
        <v>10233.230469</v>
      </c>
    </row>
    <row r="285" spans="1:3" x14ac:dyDescent="0.3">
      <c r="A285" s="127">
        <v>43784</v>
      </c>
      <c r="B285">
        <v>13.070558</v>
      </c>
      <c r="C285">
        <v>10310.120117</v>
      </c>
    </row>
    <row r="286" spans="1:3" x14ac:dyDescent="0.3">
      <c r="A286" s="127">
        <v>43787</v>
      </c>
      <c r="B286">
        <v>13.147216999999999</v>
      </c>
      <c r="C286">
        <v>10347.179688</v>
      </c>
    </row>
    <row r="287" spans="1:3" x14ac:dyDescent="0.3">
      <c r="A287" s="127">
        <v>43788</v>
      </c>
      <c r="B287">
        <v>13.128053</v>
      </c>
      <c r="C287">
        <v>10366.019531</v>
      </c>
    </row>
    <row r="288" spans="1:3" x14ac:dyDescent="0.3">
      <c r="A288" s="127">
        <v>43789</v>
      </c>
      <c r="B288">
        <v>13.070558</v>
      </c>
      <c r="C288">
        <v>10385.740234000001</v>
      </c>
    </row>
    <row r="289" spans="1:3" x14ac:dyDescent="0.3">
      <c r="A289" s="127">
        <v>43790</v>
      </c>
      <c r="B289">
        <v>12.993897</v>
      </c>
      <c r="C289">
        <v>10338.349609000001</v>
      </c>
    </row>
    <row r="290" spans="1:3" x14ac:dyDescent="0.3">
      <c r="A290" s="127">
        <v>43791</v>
      </c>
      <c r="B290">
        <v>12.878906000000001</v>
      </c>
      <c r="C290">
        <v>10369.440430000001</v>
      </c>
    </row>
    <row r="291" spans="1:3" x14ac:dyDescent="0.3">
      <c r="A291" s="127">
        <v>43794</v>
      </c>
      <c r="B291">
        <v>13.185548000000001</v>
      </c>
      <c r="C291">
        <v>10468.620117</v>
      </c>
    </row>
    <row r="292" spans="1:3" x14ac:dyDescent="0.3">
      <c r="A292" s="127">
        <v>43795</v>
      </c>
      <c r="B292">
        <v>13.262207999999999</v>
      </c>
      <c r="C292">
        <v>10506.929688</v>
      </c>
    </row>
    <row r="293" spans="1:3" x14ac:dyDescent="0.3">
      <c r="A293" s="127">
        <v>43796</v>
      </c>
      <c r="B293">
        <v>13.377198</v>
      </c>
      <c r="C293">
        <v>10529.259765999999</v>
      </c>
    </row>
    <row r="294" spans="1:3" x14ac:dyDescent="0.3">
      <c r="A294" s="127">
        <v>43797</v>
      </c>
      <c r="B294">
        <v>13.204712000000001</v>
      </c>
      <c r="C294">
        <v>10529.139648</v>
      </c>
    </row>
    <row r="295" spans="1:3" x14ac:dyDescent="0.3">
      <c r="A295" s="127">
        <v>43798</v>
      </c>
      <c r="B295">
        <v>13.262207999999999</v>
      </c>
      <c r="C295">
        <v>10493.240234000001</v>
      </c>
    </row>
    <row r="296" spans="1:3" x14ac:dyDescent="0.3">
      <c r="A296" s="127">
        <v>43801</v>
      </c>
      <c r="B296">
        <v>13.108888</v>
      </c>
      <c r="C296">
        <v>10348.440430000001</v>
      </c>
    </row>
    <row r="297" spans="1:3" x14ac:dyDescent="0.3">
      <c r="A297" s="127">
        <v>43802</v>
      </c>
      <c r="B297">
        <v>13.147216999999999</v>
      </c>
      <c r="C297">
        <v>10232.929688</v>
      </c>
    </row>
    <row r="298" spans="1:3" x14ac:dyDescent="0.3">
      <c r="A298" s="127">
        <v>43803</v>
      </c>
      <c r="B298">
        <v>13.530519</v>
      </c>
      <c r="C298">
        <v>10334.559569999999</v>
      </c>
    </row>
    <row r="299" spans="1:3" x14ac:dyDescent="0.3">
      <c r="A299" s="127">
        <v>43804</v>
      </c>
      <c r="B299">
        <v>13.741334</v>
      </c>
      <c r="C299">
        <v>10363.5</v>
      </c>
    </row>
    <row r="300" spans="1:3" x14ac:dyDescent="0.3">
      <c r="A300" s="127">
        <v>43805</v>
      </c>
      <c r="B300">
        <v>13.856323</v>
      </c>
      <c r="C300">
        <v>10463.879883</v>
      </c>
    </row>
    <row r="301" spans="1:3" x14ac:dyDescent="0.3">
      <c r="A301" s="127">
        <v>43808</v>
      </c>
      <c r="B301">
        <v>13.798828</v>
      </c>
      <c r="C301">
        <v>10434.889648</v>
      </c>
    </row>
    <row r="302" spans="1:3" x14ac:dyDescent="0.3">
      <c r="A302" s="127">
        <v>43809</v>
      </c>
      <c r="B302">
        <v>13.549683999999999</v>
      </c>
      <c r="C302">
        <v>10390.530273</v>
      </c>
    </row>
    <row r="303" spans="1:3" x14ac:dyDescent="0.3">
      <c r="A303" s="127">
        <v>43810</v>
      </c>
      <c r="B303">
        <v>13.779664</v>
      </c>
      <c r="C303">
        <v>10405.309569999999</v>
      </c>
    </row>
    <row r="304" spans="1:3" x14ac:dyDescent="0.3">
      <c r="A304" s="127">
        <v>43811</v>
      </c>
      <c r="B304">
        <v>14.086304999999999</v>
      </c>
      <c r="C304">
        <v>10451.360352</v>
      </c>
    </row>
    <row r="305" spans="1:3" x14ac:dyDescent="0.3">
      <c r="A305" s="127">
        <v>43812</v>
      </c>
      <c r="B305">
        <v>13.990479000000001</v>
      </c>
      <c r="C305">
        <v>10429.269531</v>
      </c>
    </row>
    <row r="306" spans="1:3" x14ac:dyDescent="0.3">
      <c r="A306" s="127">
        <v>43815</v>
      </c>
      <c r="B306">
        <v>14.33545</v>
      </c>
      <c r="C306">
        <v>10541.669921999999</v>
      </c>
    </row>
    <row r="307" spans="1:3" x14ac:dyDescent="0.3">
      <c r="A307" s="127">
        <v>43816</v>
      </c>
      <c r="B307">
        <v>14.642091000000001</v>
      </c>
      <c r="C307">
        <v>10538.889648</v>
      </c>
    </row>
    <row r="308" spans="1:3" x14ac:dyDescent="0.3">
      <c r="A308" s="127">
        <v>43817</v>
      </c>
      <c r="B308">
        <v>14.833740000000001</v>
      </c>
      <c r="C308">
        <v>10556.740234000001</v>
      </c>
    </row>
    <row r="309" spans="1:3" x14ac:dyDescent="0.3">
      <c r="A309" s="127">
        <v>43818</v>
      </c>
      <c r="B309">
        <v>14.622926</v>
      </c>
      <c r="C309">
        <v>10575.150390999999</v>
      </c>
    </row>
    <row r="310" spans="1:3" x14ac:dyDescent="0.3">
      <c r="A310" s="127">
        <v>43819</v>
      </c>
      <c r="B310">
        <v>14.929565999999999</v>
      </c>
      <c r="C310">
        <v>10679.370117</v>
      </c>
    </row>
    <row r="311" spans="1:3" x14ac:dyDescent="0.3">
      <c r="A311" s="127">
        <v>43822</v>
      </c>
      <c r="B311">
        <v>14.852905</v>
      </c>
      <c r="C311">
        <v>10724.339844</v>
      </c>
    </row>
    <row r="312" spans="1:3" x14ac:dyDescent="0.3">
      <c r="A312" s="127">
        <v>43826</v>
      </c>
      <c r="B312">
        <v>14.872071</v>
      </c>
      <c r="C312">
        <v>10730.150390999999</v>
      </c>
    </row>
    <row r="313" spans="1:3" x14ac:dyDescent="0.3">
      <c r="A313" s="127">
        <v>43829</v>
      </c>
      <c r="B313">
        <v>14.814575</v>
      </c>
      <c r="C313">
        <v>10616.940430000001</v>
      </c>
    </row>
    <row r="314" spans="1:3" x14ac:dyDescent="0.3">
      <c r="A314" s="127">
        <v>43833</v>
      </c>
      <c r="B314">
        <v>14.852905</v>
      </c>
      <c r="C314">
        <v>10699.820313</v>
      </c>
    </row>
    <row r="315" spans="1:3" x14ac:dyDescent="0.3">
      <c r="A315" s="127">
        <v>43836</v>
      </c>
      <c r="B315">
        <v>14.852905</v>
      </c>
      <c r="C315">
        <v>10665.410156</v>
      </c>
    </row>
    <row r="316" spans="1:3" x14ac:dyDescent="0.3">
      <c r="A316" s="127">
        <v>43837</v>
      </c>
      <c r="B316">
        <v>15.025392</v>
      </c>
      <c r="C316">
        <v>10686.799805000001</v>
      </c>
    </row>
    <row r="317" spans="1:3" x14ac:dyDescent="0.3">
      <c r="A317" s="127">
        <v>43838</v>
      </c>
      <c r="B317">
        <v>14.814575</v>
      </c>
      <c r="C317">
        <v>10652.160156</v>
      </c>
    </row>
    <row r="318" spans="1:3" x14ac:dyDescent="0.3">
      <c r="A318" s="127">
        <v>43839</v>
      </c>
      <c r="B318">
        <v>14.776246</v>
      </c>
      <c r="C318">
        <v>10650.969727</v>
      </c>
    </row>
    <row r="319" spans="1:3" x14ac:dyDescent="0.3">
      <c r="A319" s="127">
        <v>43840</v>
      </c>
      <c r="B319">
        <v>14.661255000000001</v>
      </c>
      <c r="C319">
        <v>10639.490234000001</v>
      </c>
    </row>
    <row r="320" spans="1:3" x14ac:dyDescent="0.3">
      <c r="A320" s="127">
        <v>43843</v>
      </c>
      <c r="B320">
        <v>14.622926</v>
      </c>
      <c r="C320">
        <v>10622.410156</v>
      </c>
    </row>
    <row r="321" spans="1:3" x14ac:dyDescent="0.3">
      <c r="A321" s="127">
        <v>43844</v>
      </c>
      <c r="B321">
        <v>14.737916</v>
      </c>
      <c r="C321">
        <v>10655.820313</v>
      </c>
    </row>
    <row r="322" spans="1:3" x14ac:dyDescent="0.3">
      <c r="A322" s="127">
        <v>43845</v>
      </c>
      <c r="B322">
        <v>14.891235999999999</v>
      </c>
      <c r="C322">
        <v>10670.740234000001</v>
      </c>
    </row>
    <row r="323" spans="1:3" x14ac:dyDescent="0.3">
      <c r="A323" s="127">
        <v>43846</v>
      </c>
      <c r="B323">
        <v>14.776246</v>
      </c>
      <c r="C323">
        <v>10693.519531</v>
      </c>
    </row>
    <row r="324" spans="1:3" x14ac:dyDescent="0.3">
      <c r="A324" s="127">
        <v>43847</v>
      </c>
      <c r="B324">
        <v>15.159546000000001</v>
      </c>
      <c r="C324">
        <v>10841.820313</v>
      </c>
    </row>
    <row r="325" spans="1:3" x14ac:dyDescent="0.3">
      <c r="A325" s="127">
        <v>43850</v>
      </c>
      <c r="B325">
        <v>15.140382000000001</v>
      </c>
      <c r="C325">
        <v>10846.290039</v>
      </c>
    </row>
    <row r="326" spans="1:3" x14ac:dyDescent="0.3">
      <c r="A326" s="127">
        <v>43851</v>
      </c>
      <c r="B326">
        <v>15.121216</v>
      </c>
      <c r="C326">
        <v>10884.509765999999</v>
      </c>
    </row>
    <row r="327" spans="1:3" x14ac:dyDescent="0.3">
      <c r="A327" s="127">
        <v>43852</v>
      </c>
      <c r="B327">
        <v>15.255371999999999</v>
      </c>
      <c r="C327">
        <v>10895.070313</v>
      </c>
    </row>
    <row r="328" spans="1:3" x14ac:dyDescent="0.3">
      <c r="A328" s="127">
        <v>43853</v>
      </c>
      <c r="B328">
        <v>14.71875</v>
      </c>
      <c r="C328">
        <v>10813.940430000001</v>
      </c>
    </row>
    <row r="329" spans="1:3" x14ac:dyDescent="0.3">
      <c r="A329" s="127">
        <v>43854</v>
      </c>
      <c r="B329">
        <v>14.967896</v>
      </c>
      <c r="C329">
        <v>10849.75</v>
      </c>
    </row>
    <row r="330" spans="1:3" x14ac:dyDescent="0.3">
      <c r="A330" s="127">
        <v>43857</v>
      </c>
      <c r="B330">
        <v>14.584595999999999</v>
      </c>
      <c r="C330">
        <v>10675.959961</v>
      </c>
    </row>
    <row r="331" spans="1:3" x14ac:dyDescent="0.3">
      <c r="A331" s="127">
        <v>43858</v>
      </c>
      <c r="B331">
        <v>14.603759999999999</v>
      </c>
      <c r="C331">
        <v>10781.980469</v>
      </c>
    </row>
    <row r="332" spans="1:3" x14ac:dyDescent="0.3">
      <c r="A332" s="127">
        <v>43859</v>
      </c>
      <c r="B332">
        <v>14.776246</v>
      </c>
      <c r="C332">
        <v>10859.879883</v>
      </c>
    </row>
    <row r="333" spans="1:3" x14ac:dyDescent="0.3">
      <c r="A333" s="127">
        <v>43860</v>
      </c>
      <c r="B333">
        <v>14.431274999999999</v>
      </c>
      <c r="C333">
        <v>10748.919921999999</v>
      </c>
    </row>
    <row r="334" spans="1:3" x14ac:dyDescent="0.3">
      <c r="A334" s="127">
        <v>43861</v>
      </c>
      <c r="B334">
        <v>14.603759999999999</v>
      </c>
      <c r="C334">
        <v>10627.879883</v>
      </c>
    </row>
    <row r="335" spans="1:3" x14ac:dyDescent="0.3">
      <c r="A335" s="127">
        <v>43864</v>
      </c>
      <c r="B335">
        <v>14.68042</v>
      </c>
      <c r="C335">
        <v>10664.950194999999</v>
      </c>
    </row>
    <row r="336" spans="1:3" x14ac:dyDescent="0.3">
      <c r="A336" s="127">
        <v>43865</v>
      </c>
      <c r="B336">
        <v>14.910401</v>
      </c>
      <c r="C336">
        <v>10800.639648</v>
      </c>
    </row>
    <row r="337" spans="1:3" x14ac:dyDescent="0.3">
      <c r="A337" s="127">
        <v>43866</v>
      </c>
      <c r="B337">
        <v>15.063722</v>
      </c>
      <c r="C337">
        <v>10994.150390999999</v>
      </c>
    </row>
    <row r="338" spans="1:3" x14ac:dyDescent="0.3">
      <c r="A338" s="127">
        <v>43867</v>
      </c>
      <c r="B338">
        <v>14.412108999999999</v>
      </c>
      <c r="C338">
        <v>11012.360352</v>
      </c>
    </row>
    <row r="339" spans="1:3" x14ac:dyDescent="0.3">
      <c r="A339" s="127">
        <v>43868</v>
      </c>
      <c r="B339">
        <v>14.316284</v>
      </c>
      <c r="C339">
        <v>11001.530273</v>
      </c>
    </row>
    <row r="340" spans="1:3" x14ac:dyDescent="0.3">
      <c r="A340" s="127">
        <v>43871</v>
      </c>
      <c r="B340">
        <v>14.182130000000001</v>
      </c>
      <c r="C340">
        <v>11039.780273</v>
      </c>
    </row>
    <row r="341" spans="1:3" x14ac:dyDescent="0.3">
      <c r="A341" s="127">
        <v>43872</v>
      </c>
      <c r="B341">
        <v>14.37378</v>
      </c>
      <c r="C341">
        <v>11101.169921999999</v>
      </c>
    </row>
    <row r="342" spans="1:3" x14ac:dyDescent="0.3">
      <c r="A342" s="127">
        <v>43873</v>
      </c>
      <c r="B342">
        <v>14.392944999999999</v>
      </c>
      <c r="C342">
        <v>11089.240234000001</v>
      </c>
    </row>
    <row r="343" spans="1:3" x14ac:dyDescent="0.3">
      <c r="A343" s="127">
        <v>43874</v>
      </c>
      <c r="B343">
        <v>14.37378</v>
      </c>
      <c r="C343">
        <v>11092.349609000001</v>
      </c>
    </row>
    <row r="344" spans="1:3" x14ac:dyDescent="0.3">
      <c r="A344" s="127">
        <v>43875</v>
      </c>
      <c r="B344">
        <v>14.507936000000001</v>
      </c>
      <c r="C344">
        <v>11128.809569999999</v>
      </c>
    </row>
    <row r="345" spans="1:3" x14ac:dyDescent="0.3">
      <c r="A345" s="127">
        <v>43878</v>
      </c>
      <c r="B345">
        <v>14.431274999999999</v>
      </c>
      <c r="C345">
        <v>11168.450194999999</v>
      </c>
    </row>
    <row r="346" spans="1:3" x14ac:dyDescent="0.3">
      <c r="A346" s="127">
        <v>43879</v>
      </c>
      <c r="B346">
        <v>14.29712</v>
      </c>
      <c r="C346">
        <v>11146.280273</v>
      </c>
    </row>
    <row r="347" spans="1:3" x14ac:dyDescent="0.3">
      <c r="A347" s="127">
        <v>43880</v>
      </c>
      <c r="B347">
        <v>14.37378</v>
      </c>
      <c r="C347">
        <v>11263.009765999999</v>
      </c>
    </row>
    <row r="348" spans="1:3" x14ac:dyDescent="0.3">
      <c r="A348" s="127">
        <v>43881</v>
      </c>
      <c r="B348">
        <v>14.450438999999999</v>
      </c>
      <c r="C348">
        <v>11154.530273</v>
      </c>
    </row>
    <row r="349" spans="1:3" x14ac:dyDescent="0.3">
      <c r="A349" s="127">
        <v>43882</v>
      </c>
      <c r="B349">
        <v>14.37378</v>
      </c>
      <c r="C349">
        <v>11110.780273</v>
      </c>
    </row>
    <row r="350" spans="1:3" x14ac:dyDescent="0.3">
      <c r="A350" s="127">
        <v>43885</v>
      </c>
      <c r="B350">
        <v>13.971313</v>
      </c>
      <c r="C350">
        <v>10712.839844</v>
      </c>
    </row>
    <row r="351" spans="1:3" x14ac:dyDescent="0.3">
      <c r="A351" s="127">
        <v>43886</v>
      </c>
      <c r="B351">
        <v>13.492188000000001</v>
      </c>
      <c r="C351">
        <v>10478.509765999999</v>
      </c>
    </row>
    <row r="352" spans="1:3" x14ac:dyDescent="0.3">
      <c r="A352" s="127">
        <v>43887</v>
      </c>
      <c r="B352">
        <v>14.277953999999999</v>
      </c>
      <c r="C352">
        <v>10512.150390999999</v>
      </c>
    </row>
    <row r="353" spans="1:3" x14ac:dyDescent="0.3">
      <c r="A353" s="127">
        <v>43888</v>
      </c>
      <c r="B353">
        <v>13.990479000000001</v>
      </c>
      <c r="C353">
        <v>10205.459961</v>
      </c>
    </row>
    <row r="354" spans="1:3" x14ac:dyDescent="0.3">
      <c r="A354" s="127">
        <v>43889</v>
      </c>
      <c r="B354">
        <v>13.683839000000001</v>
      </c>
      <c r="C354">
        <v>9831.0302730000003</v>
      </c>
    </row>
    <row r="355" spans="1:3" x14ac:dyDescent="0.3">
      <c r="A355" s="127">
        <v>43892</v>
      </c>
      <c r="B355">
        <v>13.913819</v>
      </c>
      <c r="C355">
        <v>9950.8300780000009</v>
      </c>
    </row>
    <row r="356" spans="1:3" x14ac:dyDescent="0.3">
      <c r="A356" s="127">
        <v>43893</v>
      </c>
      <c r="B356">
        <v>14.450438999999999</v>
      </c>
      <c r="C356">
        <v>10087.400390999999</v>
      </c>
    </row>
    <row r="357" spans="1:3" x14ac:dyDescent="0.3">
      <c r="A357" s="127">
        <v>43894</v>
      </c>
      <c r="B357">
        <v>14.182130000000001</v>
      </c>
      <c r="C357">
        <v>10251.389648</v>
      </c>
    </row>
    <row r="358" spans="1:3" x14ac:dyDescent="0.3">
      <c r="A358" s="127">
        <v>43895</v>
      </c>
      <c r="B358">
        <v>13.971313</v>
      </c>
      <c r="C358">
        <v>10143.570313</v>
      </c>
    </row>
    <row r="359" spans="1:3" x14ac:dyDescent="0.3">
      <c r="A359" s="127">
        <v>43896</v>
      </c>
      <c r="B359">
        <v>13.798828</v>
      </c>
      <c r="C359">
        <v>9736.8203130000002</v>
      </c>
    </row>
    <row r="360" spans="1:3" x14ac:dyDescent="0.3">
      <c r="A360" s="127">
        <v>43899</v>
      </c>
      <c r="B360">
        <v>12.898071</v>
      </c>
      <c r="C360">
        <v>9196.5996090000008</v>
      </c>
    </row>
    <row r="361" spans="1:3" x14ac:dyDescent="0.3">
      <c r="A361" s="127">
        <v>43900</v>
      </c>
      <c r="B361">
        <v>13.166382</v>
      </c>
      <c r="C361">
        <v>9195.9296880000002</v>
      </c>
    </row>
    <row r="362" spans="1:3" x14ac:dyDescent="0.3">
      <c r="A362" s="127">
        <v>43901</v>
      </c>
      <c r="B362">
        <v>13.166382</v>
      </c>
      <c r="C362">
        <v>9152.5</v>
      </c>
    </row>
    <row r="363" spans="1:3" x14ac:dyDescent="0.3">
      <c r="A363" s="127">
        <v>43902</v>
      </c>
      <c r="B363">
        <v>12.188965</v>
      </c>
      <c r="C363">
        <v>8270.4404300000006</v>
      </c>
    </row>
    <row r="364" spans="1:3" x14ac:dyDescent="0.3">
      <c r="A364" s="127">
        <v>43903</v>
      </c>
      <c r="B364">
        <v>12.744751000000001</v>
      </c>
      <c r="C364">
        <v>8367.5595699999994</v>
      </c>
    </row>
    <row r="365" spans="1:3" x14ac:dyDescent="0.3">
      <c r="A365" s="127">
        <v>43906</v>
      </c>
      <c r="B365">
        <v>12.533936000000001</v>
      </c>
      <c r="C365">
        <v>8227.0800780000009</v>
      </c>
    </row>
    <row r="366" spans="1:3" x14ac:dyDescent="0.3">
      <c r="A366" s="127">
        <v>43907</v>
      </c>
      <c r="B366">
        <v>11.901490000000001</v>
      </c>
      <c r="C366">
        <v>8493.0400389999995</v>
      </c>
    </row>
    <row r="367" spans="1:3" x14ac:dyDescent="0.3">
      <c r="A367" s="127">
        <v>43908</v>
      </c>
      <c r="B367">
        <v>11.307373999999999</v>
      </c>
      <c r="C367">
        <v>8338.7402340000008</v>
      </c>
    </row>
    <row r="368" spans="1:3" x14ac:dyDescent="0.3">
      <c r="A368" s="127">
        <v>43909</v>
      </c>
      <c r="B368">
        <v>12.706422</v>
      </c>
      <c r="C368">
        <v>8782.2402340000008</v>
      </c>
    </row>
    <row r="369" spans="1:3" x14ac:dyDescent="0.3">
      <c r="A369" s="127">
        <v>43910</v>
      </c>
      <c r="B369">
        <v>12.418946</v>
      </c>
      <c r="C369">
        <v>8623.8603519999997</v>
      </c>
    </row>
    <row r="370" spans="1:3" x14ac:dyDescent="0.3">
      <c r="A370" s="127">
        <v>43913</v>
      </c>
      <c r="B370">
        <v>12.227296000000001</v>
      </c>
      <c r="C370">
        <v>8160.7900390000004</v>
      </c>
    </row>
    <row r="371" spans="1:3" x14ac:dyDescent="0.3">
      <c r="A371" s="127">
        <v>43914</v>
      </c>
      <c r="B371">
        <v>13.147216999999999</v>
      </c>
      <c r="C371">
        <v>8733.3203130000002</v>
      </c>
    </row>
    <row r="372" spans="1:3" x14ac:dyDescent="0.3">
      <c r="A372" s="127">
        <v>43915</v>
      </c>
      <c r="B372">
        <v>13.875488000000001</v>
      </c>
      <c r="C372">
        <v>8989.1601559999999</v>
      </c>
    </row>
    <row r="373" spans="1:3" x14ac:dyDescent="0.3">
      <c r="A373" s="127">
        <v>43916</v>
      </c>
      <c r="B373">
        <v>14.047974</v>
      </c>
      <c r="C373">
        <v>9203.9804690000001</v>
      </c>
    </row>
    <row r="374" spans="1:3" x14ac:dyDescent="0.3">
      <c r="A374" s="127">
        <v>43917</v>
      </c>
      <c r="B374">
        <v>13.703003000000001</v>
      </c>
      <c r="C374">
        <v>8996.3701170000004</v>
      </c>
    </row>
    <row r="375" spans="1:3" x14ac:dyDescent="0.3">
      <c r="A375" s="127">
        <v>43920</v>
      </c>
      <c r="B375">
        <v>13.875488000000001</v>
      </c>
      <c r="C375">
        <v>9174.3896480000003</v>
      </c>
    </row>
    <row r="376" spans="1:3" x14ac:dyDescent="0.3">
      <c r="A376" s="127">
        <v>43921</v>
      </c>
      <c r="B376">
        <v>13.875488000000001</v>
      </c>
      <c r="C376">
        <v>9311.9199219999991</v>
      </c>
    </row>
    <row r="377" spans="1:3" x14ac:dyDescent="0.3">
      <c r="A377" s="127">
        <v>43922</v>
      </c>
      <c r="B377">
        <v>14.019227000000001</v>
      </c>
      <c r="C377">
        <v>9168.9804690000001</v>
      </c>
    </row>
    <row r="378" spans="1:3" x14ac:dyDescent="0.3">
      <c r="A378" s="127">
        <v>43923</v>
      </c>
      <c r="B378">
        <v>13.846741</v>
      </c>
      <c r="C378">
        <v>9270.9599610000005</v>
      </c>
    </row>
    <row r="379" spans="1:3" x14ac:dyDescent="0.3">
      <c r="A379" s="127">
        <v>43924</v>
      </c>
      <c r="B379">
        <v>13.808412000000001</v>
      </c>
      <c r="C379">
        <v>9242.4404300000006</v>
      </c>
    </row>
    <row r="380" spans="1:3" x14ac:dyDescent="0.3">
      <c r="A380" s="127">
        <v>43927</v>
      </c>
      <c r="B380">
        <v>14.498353</v>
      </c>
      <c r="C380">
        <v>9462.3398440000001</v>
      </c>
    </row>
    <row r="381" spans="1:3" x14ac:dyDescent="0.3">
      <c r="A381" s="127">
        <v>43928</v>
      </c>
      <c r="B381">
        <v>14.306703000000001</v>
      </c>
      <c r="C381">
        <v>9514.5996090000008</v>
      </c>
    </row>
    <row r="382" spans="1:3" x14ac:dyDescent="0.3">
      <c r="A382" s="127">
        <v>43929</v>
      </c>
      <c r="B382">
        <v>14.603759999999999</v>
      </c>
      <c r="C382">
        <v>9432.3896480000003</v>
      </c>
    </row>
    <row r="383" spans="1:3" x14ac:dyDescent="0.3">
      <c r="A383" s="127">
        <v>43930</v>
      </c>
      <c r="B383">
        <v>15.054138999999999</v>
      </c>
      <c r="C383">
        <v>9452.8300780000009</v>
      </c>
    </row>
    <row r="384" spans="1:3" x14ac:dyDescent="0.3">
      <c r="A384" s="127">
        <v>43935</v>
      </c>
      <c r="B384">
        <v>14.867558000000001</v>
      </c>
      <c r="C384">
        <v>9538.6103519999997</v>
      </c>
    </row>
    <row r="385" spans="1:3" x14ac:dyDescent="0.3">
      <c r="A385" s="127">
        <v>43936</v>
      </c>
      <c r="B385">
        <v>14.690797</v>
      </c>
      <c r="C385">
        <v>9320.2001949999994</v>
      </c>
    </row>
    <row r="386" spans="1:3" x14ac:dyDescent="0.3">
      <c r="A386" s="127">
        <v>43937</v>
      </c>
      <c r="B386">
        <v>15.132699000000001</v>
      </c>
      <c r="C386">
        <v>9439.9101559999999</v>
      </c>
    </row>
    <row r="387" spans="1:3" x14ac:dyDescent="0.3">
      <c r="A387" s="127">
        <v>43938</v>
      </c>
      <c r="B387">
        <v>15.869203000000001</v>
      </c>
      <c r="C387">
        <v>9612.8300780000009</v>
      </c>
    </row>
    <row r="388" spans="1:3" x14ac:dyDescent="0.3">
      <c r="A388" s="127">
        <v>43941</v>
      </c>
      <c r="B388">
        <v>16.144165000000001</v>
      </c>
      <c r="C388">
        <v>9785.2695309999999</v>
      </c>
    </row>
    <row r="389" spans="1:3" x14ac:dyDescent="0.3">
      <c r="A389" s="127">
        <v>43942</v>
      </c>
      <c r="B389">
        <v>15.613880999999999</v>
      </c>
      <c r="C389">
        <v>9547.8496090000008</v>
      </c>
    </row>
    <row r="390" spans="1:3" x14ac:dyDescent="0.3">
      <c r="A390" s="127">
        <v>43943</v>
      </c>
      <c r="B390">
        <v>15.712082000000001</v>
      </c>
      <c r="C390">
        <v>9630.5595699999994</v>
      </c>
    </row>
    <row r="391" spans="1:3" x14ac:dyDescent="0.3">
      <c r="A391" s="127">
        <v>43944</v>
      </c>
      <c r="B391">
        <v>16.006682999999999</v>
      </c>
      <c r="C391">
        <v>9625.4804690000001</v>
      </c>
    </row>
    <row r="392" spans="1:3" x14ac:dyDescent="0.3">
      <c r="A392" s="127">
        <v>43945</v>
      </c>
      <c r="B392">
        <v>16.173624</v>
      </c>
      <c r="C392">
        <v>9625.6503909999992</v>
      </c>
    </row>
    <row r="393" spans="1:3" x14ac:dyDescent="0.3">
      <c r="A393" s="127">
        <v>43948</v>
      </c>
      <c r="B393">
        <v>16.212904000000002</v>
      </c>
      <c r="C393">
        <v>9758.8203130000002</v>
      </c>
    </row>
    <row r="394" spans="1:3" x14ac:dyDescent="0.3">
      <c r="A394" s="127">
        <v>43949</v>
      </c>
      <c r="B394">
        <v>16.379847000000002</v>
      </c>
      <c r="C394">
        <v>9889.4599610000005</v>
      </c>
    </row>
    <row r="395" spans="1:3" x14ac:dyDescent="0.3">
      <c r="A395" s="127">
        <v>43950</v>
      </c>
      <c r="B395">
        <v>15.741543</v>
      </c>
      <c r="C395">
        <v>9865.3203130000002</v>
      </c>
    </row>
    <row r="396" spans="1:3" x14ac:dyDescent="0.3">
      <c r="A396" s="127">
        <v>43951</v>
      </c>
      <c r="B396">
        <v>15.250539</v>
      </c>
      <c r="C396">
        <v>9629.4003909999992</v>
      </c>
    </row>
    <row r="397" spans="1:3" x14ac:dyDescent="0.3">
      <c r="A397" s="127">
        <v>43955</v>
      </c>
      <c r="B397">
        <v>15.073779</v>
      </c>
      <c r="C397">
        <v>9390.2695309999999</v>
      </c>
    </row>
    <row r="398" spans="1:3" x14ac:dyDescent="0.3">
      <c r="A398" s="127">
        <v>43956</v>
      </c>
      <c r="B398">
        <v>14.759537</v>
      </c>
      <c r="C398">
        <v>9512.1699219999991</v>
      </c>
    </row>
    <row r="399" spans="1:3" x14ac:dyDescent="0.3">
      <c r="A399" s="127">
        <v>43957</v>
      </c>
      <c r="B399">
        <v>14.828277999999999</v>
      </c>
      <c r="C399">
        <v>9571.7001949999994</v>
      </c>
    </row>
    <row r="400" spans="1:3" x14ac:dyDescent="0.3">
      <c r="A400" s="127">
        <v>43958</v>
      </c>
      <c r="B400">
        <v>14.730077</v>
      </c>
      <c r="C400">
        <v>9617.9804690000001</v>
      </c>
    </row>
    <row r="401" spans="1:3" x14ac:dyDescent="0.3">
      <c r="A401" s="127">
        <v>43959</v>
      </c>
      <c r="B401">
        <v>15.044318000000001</v>
      </c>
      <c r="C401">
        <v>9665.3496090000008</v>
      </c>
    </row>
    <row r="402" spans="1:3" x14ac:dyDescent="0.3">
      <c r="A402" s="127">
        <v>43962</v>
      </c>
      <c r="B402">
        <v>15.113059</v>
      </c>
      <c r="C402">
        <v>9689.7099610000005</v>
      </c>
    </row>
    <row r="403" spans="1:3" x14ac:dyDescent="0.3">
      <c r="A403" s="127">
        <v>43963</v>
      </c>
      <c r="B403">
        <v>15.063959000000001</v>
      </c>
      <c r="C403">
        <v>9733.5302730000003</v>
      </c>
    </row>
    <row r="404" spans="1:3" x14ac:dyDescent="0.3">
      <c r="A404" s="127">
        <v>43964</v>
      </c>
      <c r="B404">
        <v>15.054138</v>
      </c>
      <c r="C404">
        <v>9631.6201170000004</v>
      </c>
    </row>
    <row r="405" spans="1:3" x14ac:dyDescent="0.3">
      <c r="A405" s="127">
        <v>43965</v>
      </c>
      <c r="B405">
        <v>14.661337</v>
      </c>
      <c r="C405">
        <v>9448.1396480000003</v>
      </c>
    </row>
    <row r="406" spans="1:3" x14ac:dyDescent="0.3">
      <c r="A406" s="127">
        <v>43966</v>
      </c>
      <c r="B406">
        <v>14.661337</v>
      </c>
      <c r="C406">
        <v>9483.0996090000008</v>
      </c>
    </row>
    <row r="407" spans="1:3" x14ac:dyDescent="0.3">
      <c r="A407" s="127">
        <v>43969</v>
      </c>
      <c r="B407">
        <v>14.916657000000001</v>
      </c>
      <c r="C407">
        <v>9740.7695309999999</v>
      </c>
    </row>
    <row r="408" spans="1:3" x14ac:dyDescent="0.3">
      <c r="A408" s="127">
        <v>43970</v>
      </c>
      <c r="B408">
        <v>15.211259</v>
      </c>
      <c r="C408">
        <v>9764.2304690000001</v>
      </c>
    </row>
    <row r="409" spans="1:3" x14ac:dyDescent="0.3">
      <c r="A409" s="127">
        <v>43971</v>
      </c>
      <c r="B409">
        <v>15.623701000000001</v>
      </c>
      <c r="C409">
        <v>9790.8496090000008</v>
      </c>
    </row>
    <row r="410" spans="1:3" x14ac:dyDescent="0.3">
      <c r="A410" s="127">
        <v>43973</v>
      </c>
      <c r="B410">
        <v>15.790642</v>
      </c>
      <c r="C410">
        <v>9688.9902340000008</v>
      </c>
    </row>
    <row r="411" spans="1:3" x14ac:dyDescent="0.3">
      <c r="A411" s="127">
        <v>43976</v>
      </c>
      <c r="B411">
        <v>15.761182</v>
      </c>
      <c r="C411">
        <v>9824.5400389999995</v>
      </c>
    </row>
    <row r="412" spans="1:3" x14ac:dyDescent="0.3">
      <c r="A412" s="127">
        <v>43977</v>
      </c>
      <c r="B412">
        <v>15.712082000000001</v>
      </c>
      <c r="C412">
        <v>9830.8300780000009</v>
      </c>
    </row>
    <row r="413" spans="1:3" x14ac:dyDescent="0.3">
      <c r="A413" s="127">
        <v>43978</v>
      </c>
      <c r="B413">
        <v>15.456759999999999</v>
      </c>
      <c r="C413">
        <v>9716.5195309999999</v>
      </c>
    </row>
    <row r="414" spans="1:3" x14ac:dyDescent="0.3">
      <c r="A414" s="127">
        <v>43979</v>
      </c>
      <c r="B414">
        <v>15.662981</v>
      </c>
      <c r="C414">
        <v>9926.0302730000003</v>
      </c>
    </row>
    <row r="415" spans="1:3" x14ac:dyDescent="0.3">
      <c r="A415" s="127">
        <v>43980</v>
      </c>
      <c r="B415">
        <v>15.771001999999999</v>
      </c>
      <c r="C415">
        <v>9831.4902340000008</v>
      </c>
    </row>
    <row r="416" spans="1:3" x14ac:dyDescent="0.3">
      <c r="A416" s="127">
        <v>43984</v>
      </c>
      <c r="B416">
        <v>14.995217999999999</v>
      </c>
      <c r="C416">
        <v>9951.4501949999994</v>
      </c>
    </row>
    <row r="417" spans="1:3" x14ac:dyDescent="0.3">
      <c r="A417" s="127">
        <v>43985</v>
      </c>
      <c r="B417">
        <v>15.142519</v>
      </c>
      <c r="C417">
        <v>10183.769531</v>
      </c>
    </row>
    <row r="418" spans="1:3" x14ac:dyDescent="0.3">
      <c r="A418" s="127">
        <v>43986</v>
      </c>
      <c r="B418">
        <v>15.181799</v>
      </c>
      <c r="C418">
        <v>10075.679688</v>
      </c>
    </row>
    <row r="419" spans="1:3" x14ac:dyDescent="0.3">
      <c r="A419" s="127">
        <v>43987</v>
      </c>
      <c r="B419">
        <v>14.926477</v>
      </c>
      <c r="C419">
        <v>10190.370117</v>
      </c>
    </row>
    <row r="420" spans="1:3" x14ac:dyDescent="0.3">
      <c r="A420" s="127">
        <v>43990</v>
      </c>
      <c r="B420">
        <v>14.641696</v>
      </c>
      <c r="C420">
        <v>10152.769531</v>
      </c>
    </row>
    <row r="421" spans="1:3" x14ac:dyDescent="0.3">
      <c r="A421" s="127">
        <v>43991</v>
      </c>
      <c r="B421">
        <v>14.700616999999999</v>
      </c>
      <c r="C421">
        <v>10184.820313</v>
      </c>
    </row>
    <row r="422" spans="1:3" x14ac:dyDescent="0.3">
      <c r="A422" s="127">
        <v>43992</v>
      </c>
      <c r="B422">
        <v>14.710436</v>
      </c>
      <c r="C422">
        <v>10147.179688</v>
      </c>
    </row>
    <row r="423" spans="1:3" x14ac:dyDescent="0.3">
      <c r="A423" s="127">
        <v>43993</v>
      </c>
      <c r="B423">
        <v>14.514035</v>
      </c>
      <c r="C423">
        <v>9828.5800780000009</v>
      </c>
    </row>
    <row r="424" spans="1:3" x14ac:dyDescent="0.3">
      <c r="A424" s="127">
        <v>43994</v>
      </c>
      <c r="B424">
        <v>14.445295</v>
      </c>
      <c r="C424">
        <v>9796.3701170000004</v>
      </c>
    </row>
    <row r="425" spans="1:3" x14ac:dyDescent="0.3">
      <c r="A425" s="127">
        <v>43997</v>
      </c>
      <c r="B425">
        <v>14.779178</v>
      </c>
      <c r="C425">
        <v>9842.5595699999994</v>
      </c>
    </row>
    <row r="426" spans="1:3" x14ac:dyDescent="0.3">
      <c r="A426" s="127">
        <v>43998</v>
      </c>
      <c r="B426">
        <v>14.710436</v>
      </c>
      <c r="C426">
        <v>10034.290039</v>
      </c>
    </row>
    <row r="427" spans="1:3" x14ac:dyDescent="0.3">
      <c r="A427" s="127">
        <v>43999</v>
      </c>
      <c r="B427">
        <v>14.730077</v>
      </c>
      <c r="C427">
        <v>10202.190430000001</v>
      </c>
    </row>
    <row r="428" spans="1:3" x14ac:dyDescent="0.3">
      <c r="A428" s="127">
        <v>44000</v>
      </c>
      <c r="B428">
        <v>14.857737999999999</v>
      </c>
      <c r="C428">
        <v>10186.5</v>
      </c>
    </row>
    <row r="429" spans="1:3" x14ac:dyDescent="0.3">
      <c r="A429" s="127">
        <v>44001</v>
      </c>
      <c r="B429">
        <v>14.779178</v>
      </c>
      <c r="C429">
        <v>10266.290039</v>
      </c>
    </row>
    <row r="430" spans="1:3" x14ac:dyDescent="0.3">
      <c r="A430" s="127">
        <v>44004</v>
      </c>
      <c r="B430">
        <v>15.132699000000001</v>
      </c>
      <c r="C430">
        <v>10151.129883</v>
      </c>
    </row>
    <row r="431" spans="1:3" x14ac:dyDescent="0.3">
      <c r="A431" s="127">
        <v>44005</v>
      </c>
      <c r="B431">
        <v>15.044318000000001</v>
      </c>
      <c r="C431">
        <v>10246.559569999999</v>
      </c>
    </row>
    <row r="432" spans="1:3" x14ac:dyDescent="0.3">
      <c r="A432" s="127">
        <v>44006</v>
      </c>
      <c r="B432">
        <v>14.857737999999999</v>
      </c>
      <c r="C432">
        <v>10021.990234000001</v>
      </c>
    </row>
    <row r="433" spans="1:3" x14ac:dyDescent="0.3">
      <c r="A433" s="127">
        <v>44007</v>
      </c>
      <c r="B433">
        <v>14.995217999999999</v>
      </c>
      <c r="C433">
        <v>10089.830078000001</v>
      </c>
    </row>
    <row r="434" spans="1:3" x14ac:dyDescent="0.3">
      <c r="A434" s="127">
        <v>44008</v>
      </c>
      <c r="B434">
        <v>15.024678</v>
      </c>
      <c r="C434">
        <v>10041.910156</v>
      </c>
    </row>
    <row r="435" spans="1:3" x14ac:dyDescent="0.3">
      <c r="A435" s="127">
        <v>44011</v>
      </c>
      <c r="B435">
        <v>14.818458</v>
      </c>
      <c r="C435">
        <v>10060.459961</v>
      </c>
    </row>
    <row r="436" spans="1:3" x14ac:dyDescent="0.3">
      <c r="A436" s="127">
        <v>44012</v>
      </c>
      <c r="B436">
        <v>15.054138</v>
      </c>
      <c r="C436">
        <v>10045.299805000001</v>
      </c>
    </row>
    <row r="437" spans="1:3" x14ac:dyDescent="0.3">
      <c r="A437" s="127">
        <v>44013</v>
      </c>
      <c r="B437">
        <v>15.24072</v>
      </c>
      <c r="C437">
        <v>10089.669921999999</v>
      </c>
    </row>
    <row r="438" spans="1:3" x14ac:dyDescent="0.3">
      <c r="A438" s="127">
        <v>44014</v>
      </c>
      <c r="B438">
        <v>15.30946</v>
      </c>
      <c r="C438">
        <v>10187.559569999999</v>
      </c>
    </row>
    <row r="439" spans="1:3" x14ac:dyDescent="0.3">
      <c r="A439" s="127">
        <v>44015</v>
      </c>
      <c r="B439">
        <v>15.250539</v>
      </c>
      <c r="C439">
        <v>10125.839844</v>
      </c>
    </row>
    <row r="440" spans="1:3" x14ac:dyDescent="0.3">
      <c r="A440" s="127">
        <v>44018</v>
      </c>
      <c r="B440">
        <v>15.554961</v>
      </c>
      <c r="C440">
        <v>10253.379883</v>
      </c>
    </row>
    <row r="441" spans="1:3" x14ac:dyDescent="0.3">
      <c r="A441" s="127">
        <v>44019</v>
      </c>
      <c r="B441">
        <v>15.653161000000001</v>
      </c>
      <c r="C441">
        <v>10207.959961</v>
      </c>
    </row>
    <row r="442" spans="1:3" x14ac:dyDescent="0.3">
      <c r="A442" s="127">
        <v>44020</v>
      </c>
      <c r="B442">
        <v>15.918303</v>
      </c>
      <c r="C442">
        <v>10178.410156</v>
      </c>
    </row>
    <row r="443" spans="1:3" x14ac:dyDescent="0.3">
      <c r="A443" s="127">
        <v>44021</v>
      </c>
      <c r="B443">
        <v>15.702261999999999</v>
      </c>
      <c r="C443">
        <v>10143.379883</v>
      </c>
    </row>
    <row r="444" spans="1:3" x14ac:dyDescent="0.3">
      <c r="A444" s="127">
        <v>44022</v>
      </c>
      <c r="B444">
        <v>16.075424000000002</v>
      </c>
      <c r="C444">
        <v>10229.969727</v>
      </c>
    </row>
    <row r="445" spans="1:3" x14ac:dyDescent="0.3">
      <c r="A445" s="127">
        <v>44025</v>
      </c>
      <c r="B445">
        <v>16.389665999999998</v>
      </c>
      <c r="C445">
        <v>10300.959961</v>
      </c>
    </row>
    <row r="446" spans="1:3" x14ac:dyDescent="0.3">
      <c r="A446" s="127">
        <v>44026</v>
      </c>
      <c r="B446">
        <v>16.271823999999999</v>
      </c>
      <c r="C446">
        <v>10259.5</v>
      </c>
    </row>
    <row r="447" spans="1:3" x14ac:dyDescent="0.3">
      <c r="A447" s="127">
        <v>44027</v>
      </c>
      <c r="B447">
        <v>16.723547</v>
      </c>
      <c r="C447">
        <v>10460.009765999999</v>
      </c>
    </row>
    <row r="448" spans="1:3" x14ac:dyDescent="0.3">
      <c r="A448" s="127">
        <v>44028</v>
      </c>
      <c r="B448">
        <v>16.841387000000001</v>
      </c>
      <c r="C448">
        <v>10433.429688</v>
      </c>
    </row>
    <row r="449" spans="1:3" x14ac:dyDescent="0.3">
      <c r="A449" s="127">
        <v>44029</v>
      </c>
      <c r="B449">
        <v>16.802109000000002</v>
      </c>
      <c r="C449">
        <v>10410.519531</v>
      </c>
    </row>
    <row r="450" spans="1:3" x14ac:dyDescent="0.3">
      <c r="A450" s="127">
        <v>44032</v>
      </c>
      <c r="B450">
        <v>16.861028999999998</v>
      </c>
      <c r="C450">
        <v>10470.919921999999</v>
      </c>
    </row>
    <row r="451" spans="1:3" x14ac:dyDescent="0.3">
      <c r="A451" s="127">
        <v>44033</v>
      </c>
      <c r="B451">
        <v>17.047609000000001</v>
      </c>
      <c r="C451">
        <v>10444.049805000001</v>
      </c>
    </row>
    <row r="452" spans="1:3" x14ac:dyDescent="0.3">
      <c r="A452" s="127">
        <v>44034</v>
      </c>
      <c r="B452">
        <v>17.283290999999998</v>
      </c>
      <c r="C452">
        <v>10439.040039</v>
      </c>
    </row>
    <row r="453" spans="1:3" x14ac:dyDescent="0.3">
      <c r="A453" s="127">
        <v>44035</v>
      </c>
      <c r="B453">
        <v>17.430592000000001</v>
      </c>
      <c r="C453">
        <v>10383.379883</v>
      </c>
    </row>
    <row r="454" spans="1:3" x14ac:dyDescent="0.3">
      <c r="A454" s="127">
        <v>44036</v>
      </c>
      <c r="B454">
        <v>17.263649000000001</v>
      </c>
      <c r="C454">
        <v>10214.209961</v>
      </c>
    </row>
    <row r="455" spans="1:3" x14ac:dyDescent="0.3">
      <c r="A455" s="127">
        <v>44039</v>
      </c>
      <c r="B455">
        <v>16.988688</v>
      </c>
      <c r="C455">
        <v>10272.339844</v>
      </c>
    </row>
    <row r="456" spans="1:3" x14ac:dyDescent="0.3">
      <c r="A456" s="127">
        <v>44040</v>
      </c>
      <c r="B456">
        <v>15.790642</v>
      </c>
      <c r="C456">
        <v>10277.200194999999</v>
      </c>
    </row>
    <row r="457" spans="1:3" x14ac:dyDescent="0.3">
      <c r="A457" s="127">
        <v>44041</v>
      </c>
      <c r="B457">
        <v>15.957583</v>
      </c>
      <c r="C457">
        <v>10272.809569999999</v>
      </c>
    </row>
    <row r="458" spans="1:3" x14ac:dyDescent="0.3">
      <c r="A458" s="127">
        <v>44042</v>
      </c>
      <c r="B458">
        <v>15.604062000000001</v>
      </c>
      <c r="C458">
        <v>10095.339844</v>
      </c>
    </row>
    <row r="459" spans="1:3" x14ac:dyDescent="0.3">
      <c r="A459" s="127">
        <v>44043</v>
      </c>
      <c r="B459">
        <v>15.623701000000001</v>
      </c>
      <c r="C459">
        <v>10005.900390999999</v>
      </c>
    </row>
    <row r="460" spans="1:3" x14ac:dyDescent="0.3">
      <c r="A460" s="127">
        <v>44046</v>
      </c>
      <c r="B460">
        <v>15.888844000000001</v>
      </c>
      <c r="C460">
        <v>10229.669921999999</v>
      </c>
    </row>
    <row r="461" spans="1:3" x14ac:dyDescent="0.3">
      <c r="A461" s="127">
        <v>44047</v>
      </c>
      <c r="B461">
        <v>16.173624</v>
      </c>
      <c r="C461">
        <v>10162.040039</v>
      </c>
    </row>
    <row r="462" spans="1:3" x14ac:dyDescent="0.3">
      <c r="A462" s="127">
        <v>44048</v>
      </c>
      <c r="B462">
        <v>16.723547</v>
      </c>
      <c r="C462">
        <v>10097.969727</v>
      </c>
    </row>
    <row r="463" spans="1:3" x14ac:dyDescent="0.3">
      <c r="A463" s="127">
        <v>44049</v>
      </c>
      <c r="B463">
        <v>16.949408999999999</v>
      </c>
      <c r="C463">
        <v>10067.129883</v>
      </c>
    </row>
    <row r="464" spans="1:3" x14ac:dyDescent="0.3">
      <c r="A464" s="127">
        <v>44050</v>
      </c>
      <c r="B464">
        <v>17.126169000000001</v>
      </c>
      <c r="C464">
        <v>10068.030273</v>
      </c>
    </row>
    <row r="465" spans="1:3" x14ac:dyDescent="0.3">
      <c r="A465" s="127">
        <v>44053</v>
      </c>
      <c r="B465">
        <v>16.861028999999998</v>
      </c>
      <c r="C465">
        <v>10090.910156</v>
      </c>
    </row>
    <row r="466" spans="1:3" x14ac:dyDescent="0.3">
      <c r="A466" s="127">
        <v>44054</v>
      </c>
      <c r="B466">
        <v>16.370025999999999</v>
      </c>
      <c r="C466">
        <v>10153.240234000001</v>
      </c>
    </row>
    <row r="467" spans="1:3" x14ac:dyDescent="0.3">
      <c r="A467" s="127">
        <v>44055</v>
      </c>
      <c r="B467">
        <v>16.399487000000001</v>
      </c>
      <c r="C467">
        <v>10278.660156</v>
      </c>
    </row>
    <row r="468" spans="1:3" x14ac:dyDescent="0.3">
      <c r="A468" s="127">
        <v>44056</v>
      </c>
      <c r="B468">
        <v>16.684266999999998</v>
      </c>
      <c r="C468">
        <v>10260.110352</v>
      </c>
    </row>
    <row r="469" spans="1:3" x14ac:dyDescent="0.3">
      <c r="A469" s="127">
        <v>44057</v>
      </c>
      <c r="B469">
        <v>16.556605999999999</v>
      </c>
      <c r="C469">
        <v>10163.599609000001</v>
      </c>
    </row>
    <row r="470" spans="1:3" x14ac:dyDescent="0.3">
      <c r="A470" s="127">
        <v>44060</v>
      </c>
      <c r="B470">
        <v>16.89049</v>
      </c>
      <c r="C470">
        <v>10228.059569999999</v>
      </c>
    </row>
    <row r="471" spans="1:3" x14ac:dyDescent="0.3">
      <c r="A471" s="127">
        <v>44061</v>
      </c>
      <c r="B471">
        <v>16.694088000000001</v>
      </c>
      <c r="C471">
        <v>10168.400390999999</v>
      </c>
    </row>
    <row r="472" spans="1:3" x14ac:dyDescent="0.3">
      <c r="A472" s="127">
        <v>44062</v>
      </c>
      <c r="B472">
        <v>17.204730999999999</v>
      </c>
      <c r="C472">
        <v>10310.009765999999</v>
      </c>
    </row>
    <row r="473" spans="1:3" x14ac:dyDescent="0.3">
      <c r="A473" s="127">
        <v>44063</v>
      </c>
      <c r="B473">
        <v>16.762827000000001</v>
      </c>
      <c r="C473">
        <v>10229.919921999999</v>
      </c>
    </row>
    <row r="474" spans="1:3" x14ac:dyDescent="0.3">
      <c r="A474" s="127">
        <v>44064</v>
      </c>
      <c r="B474">
        <v>16.576246000000001</v>
      </c>
      <c r="C474">
        <v>10218.200194999999</v>
      </c>
    </row>
    <row r="475" spans="1:3" x14ac:dyDescent="0.3">
      <c r="A475" s="127">
        <v>44067</v>
      </c>
      <c r="B475">
        <v>17.165448999999999</v>
      </c>
      <c r="C475">
        <v>10308.389648</v>
      </c>
    </row>
    <row r="476" spans="1:3" x14ac:dyDescent="0.3">
      <c r="A476" s="127">
        <v>44068</v>
      </c>
      <c r="B476">
        <v>17.234190000000002</v>
      </c>
      <c r="C476">
        <v>10231.25</v>
      </c>
    </row>
    <row r="477" spans="1:3" x14ac:dyDescent="0.3">
      <c r="A477" s="127">
        <v>44069</v>
      </c>
      <c r="B477">
        <v>17.391310000000001</v>
      </c>
      <c r="C477">
        <v>10309.650390999999</v>
      </c>
    </row>
    <row r="478" spans="1:3" x14ac:dyDescent="0.3">
      <c r="A478" s="127">
        <v>44070</v>
      </c>
      <c r="B478">
        <v>17.401130999999999</v>
      </c>
      <c r="C478">
        <v>10240.459961</v>
      </c>
    </row>
    <row r="479" spans="1:3" x14ac:dyDescent="0.3">
      <c r="A479" s="127">
        <v>44071</v>
      </c>
      <c r="B479">
        <v>17.19491</v>
      </c>
      <c r="C479">
        <v>10164.490234000001</v>
      </c>
    </row>
    <row r="480" spans="1:3" x14ac:dyDescent="0.3">
      <c r="A480" s="127">
        <v>44074</v>
      </c>
      <c r="B480">
        <v>17.420770999999998</v>
      </c>
      <c r="C480">
        <v>10135.559569999999</v>
      </c>
    </row>
    <row r="481" spans="1:3" x14ac:dyDescent="0.3">
      <c r="A481" s="127">
        <v>44075</v>
      </c>
      <c r="B481">
        <v>17.352029999999999</v>
      </c>
      <c r="C481">
        <v>10188.849609000001</v>
      </c>
    </row>
    <row r="482" spans="1:3" x14ac:dyDescent="0.3">
      <c r="A482" s="127">
        <v>44076</v>
      </c>
      <c r="B482">
        <v>17.352029999999999</v>
      </c>
      <c r="C482">
        <v>10384.839844</v>
      </c>
    </row>
    <row r="483" spans="1:3" x14ac:dyDescent="0.3">
      <c r="A483" s="127">
        <v>44077</v>
      </c>
      <c r="B483">
        <v>17.145809</v>
      </c>
      <c r="C483">
        <v>10220.639648</v>
      </c>
    </row>
    <row r="484" spans="1:3" x14ac:dyDescent="0.3">
      <c r="A484" s="127">
        <v>44078</v>
      </c>
      <c r="B484">
        <v>16.89049</v>
      </c>
      <c r="C484">
        <v>10153.089844</v>
      </c>
    </row>
    <row r="485" spans="1:3" x14ac:dyDescent="0.3">
      <c r="A485" s="127">
        <v>44081</v>
      </c>
      <c r="B485">
        <v>17.538612000000001</v>
      </c>
      <c r="C485">
        <v>10297.799805000001</v>
      </c>
    </row>
    <row r="486" spans="1:3" x14ac:dyDescent="0.3">
      <c r="A486" s="127">
        <v>44082</v>
      </c>
      <c r="B486">
        <v>17.381491</v>
      </c>
      <c r="C486">
        <v>10250.440430000001</v>
      </c>
    </row>
    <row r="487" spans="1:3" x14ac:dyDescent="0.3">
      <c r="A487" s="127">
        <v>44083</v>
      </c>
      <c r="B487">
        <v>17.27347</v>
      </c>
      <c r="C487">
        <v>10406.570313</v>
      </c>
    </row>
    <row r="488" spans="1:3" x14ac:dyDescent="0.3">
      <c r="A488" s="127">
        <v>44084</v>
      </c>
      <c r="B488">
        <v>17.155628</v>
      </c>
      <c r="C488">
        <v>10387.440430000001</v>
      </c>
    </row>
    <row r="489" spans="1:3" x14ac:dyDescent="0.3">
      <c r="A489" s="127">
        <v>44085</v>
      </c>
      <c r="B489">
        <v>17.234190000000002</v>
      </c>
      <c r="C489">
        <v>10439.519531</v>
      </c>
    </row>
    <row r="490" spans="1:3" x14ac:dyDescent="0.3">
      <c r="A490" s="127">
        <v>44088</v>
      </c>
      <c r="B490">
        <v>17.342210999999999</v>
      </c>
      <c r="C490">
        <v>10457.429688</v>
      </c>
    </row>
    <row r="491" spans="1:3" x14ac:dyDescent="0.3">
      <c r="A491" s="127">
        <v>44089</v>
      </c>
      <c r="B491">
        <v>17.401130999999999</v>
      </c>
      <c r="C491">
        <v>10520</v>
      </c>
    </row>
    <row r="492" spans="1:3" x14ac:dyDescent="0.3">
      <c r="A492" s="127">
        <v>44090</v>
      </c>
      <c r="B492">
        <v>17.715374000000001</v>
      </c>
      <c r="C492">
        <v>10552.040039</v>
      </c>
    </row>
    <row r="493" spans="1:3" x14ac:dyDescent="0.3">
      <c r="A493" s="127">
        <v>44091</v>
      </c>
      <c r="B493">
        <v>17.676092000000001</v>
      </c>
      <c r="C493">
        <v>10519.330078000001</v>
      </c>
    </row>
    <row r="494" spans="1:3" x14ac:dyDescent="0.3">
      <c r="A494" s="127">
        <v>44092</v>
      </c>
      <c r="B494">
        <v>17.676092000000001</v>
      </c>
      <c r="C494">
        <v>10539.169921999999</v>
      </c>
    </row>
    <row r="495" spans="1:3" x14ac:dyDescent="0.3">
      <c r="A495" s="127">
        <v>44095</v>
      </c>
      <c r="B495">
        <v>17.725190999999999</v>
      </c>
      <c r="C495">
        <v>10325.440430000001</v>
      </c>
    </row>
    <row r="496" spans="1:3" x14ac:dyDescent="0.3">
      <c r="A496" s="127">
        <v>44096</v>
      </c>
      <c r="B496">
        <v>17.941234999999999</v>
      </c>
      <c r="C496">
        <v>10355.570313</v>
      </c>
    </row>
    <row r="497" spans="1:3" x14ac:dyDescent="0.3">
      <c r="A497" s="127">
        <v>44097</v>
      </c>
      <c r="B497">
        <v>17.970694000000002</v>
      </c>
      <c r="C497">
        <v>10330.059569999999</v>
      </c>
    </row>
    <row r="498" spans="1:3" x14ac:dyDescent="0.3">
      <c r="A498" s="127">
        <v>44098</v>
      </c>
      <c r="B498">
        <v>17.725190999999999</v>
      </c>
      <c r="C498">
        <v>10211.530273</v>
      </c>
    </row>
    <row r="499" spans="1:3" x14ac:dyDescent="0.3">
      <c r="A499" s="127">
        <v>44099</v>
      </c>
      <c r="B499">
        <v>17.970694000000002</v>
      </c>
      <c r="C499">
        <v>10216.280273</v>
      </c>
    </row>
    <row r="500" spans="1:3" x14ac:dyDescent="0.3">
      <c r="A500" s="127">
        <v>44102</v>
      </c>
      <c r="B500">
        <v>18.206375000000001</v>
      </c>
      <c r="C500">
        <v>10308.669921999999</v>
      </c>
    </row>
    <row r="501" spans="1:3" x14ac:dyDescent="0.3">
      <c r="A501" s="127">
        <v>44103</v>
      </c>
      <c r="B501">
        <v>18.088535</v>
      </c>
      <c r="C501">
        <v>10229.299805000001</v>
      </c>
    </row>
    <row r="502" spans="1:3" x14ac:dyDescent="0.3">
      <c r="A502" s="127">
        <v>44104</v>
      </c>
      <c r="B502">
        <v>18.157274000000001</v>
      </c>
      <c r="C502">
        <v>10187</v>
      </c>
    </row>
    <row r="503" spans="1:3" x14ac:dyDescent="0.3">
      <c r="A503" s="127">
        <v>44105</v>
      </c>
      <c r="B503">
        <v>18.275116000000001</v>
      </c>
      <c r="C503">
        <v>10238.120117</v>
      </c>
    </row>
    <row r="504" spans="1:3" x14ac:dyDescent="0.3">
      <c r="A504" s="127">
        <v>44106</v>
      </c>
      <c r="B504">
        <v>18.402774999999998</v>
      </c>
      <c r="C504">
        <v>10252.400390999999</v>
      </c>
    </row>
    <row r="505" spans="1:3" x14ac:dyDescent="0.3">
      <c r="A505" s="127">
        <v>44109</v>
      </c>
      <c r="B505">
        <v>18.304575</v>
      </c>
      <c r="C505">
        <v>10303.059569999999</v>
      </c>
    </row>
    <row r="506" spans="1:3" x14ac:dyDescent="0.3">
      <c r="A506" s="127">
        <v>44110</v>
      </c>
      <c r="B506">
        <v>18.324214999999999</v>
      </c>
      <c r="C506">
        <v>10233.160156</v>
      </c>
    </row>
    <row r="507" spans="1:3" x14ac:dyDescent="0.3">
      <c r="A507" s="127">
        <v>44111</v>
      </c>
      <c r="B507">
        <v>18.294754000000001</v>
      </c>
      <c r="C507">
        <v>10187.879883</v>
      </c>
    </row>
    <row r="508" spans="1:3" x14ac:dyDescent="0.3">
      <c r="A508" s="127">
        <v>44112</v>
      </c>
      <c r="B508">
        <v>18.196556000000001</v>
      </c>
      <c r="C508">
        <v>10270.240234000001</v>
      </c>
    </row>
    <row r="509" spans="1:3" x14ac:dyDescent="0.3">
      <c r="A509" s="127">
        <v>44113</v>
      </c>
      <c r="B509">
        <v>18.628637000000001</v>
      </c>
      <c r="C509">
        <v>10320.030273</v>
      </c>
    </row>
    <row r="510" spans="1:3" x14ac:dyDescent="0.3">
      <c r="A510" s="127">
        <v>44116</v>
      </c>
      <c r="B510">
        <v>19.149099</v>
      </c>
      <c r="C510">
        <v>10364.099609000001</v>
      </c>
    </row>
    <row r="511" spans="1:3" x14ac:dyDescent="0.3">
      <c r="A511" s="127">
        <v>44117</v>
      </c>
      <c r="B511">
        <v>19.168741000000001</v>
      </c>
      <c r="C511">
        <v>10336.360352</v>
      </c>
    </row>
    <row r="512" spans="1:3" x14ac:dyDescent="0.3">
      <c r="A512" s="127">
        <v>44118</v>
      </c>
      <c r="B512">
        <v>19.158919999999998</v>
      </c>
      <c r="C512">
        <v>10292.660156</v>
      </c>
    </row>
    <row r="513" spans="1:3" x14ac:dyDescent="0.3">
      <c r="A513" s="127">
        <v>44119</v>
      </c>
      <c r="B513">
        <v>19.139279999999999</v>
      </c>
      <c r="C513">
        <v>10067.959961</v>
      </c>
    </row>
    <row r="514" spans="1:3" x14ac:dyDescent="0.3">
      <c r="A514" s="127">
        <v>44120</v>
      </c>
      <c r="B514">
        <v>19.1982</v>
      </c>
      <c r="C514">
        <v>10207.129883</v>
      </c>
    </row>
    <row r="515" spans="1:3" x14ac:dyDescent="0.3">
      <c r="A515" s="127">
        <v>44123</v>
      </c>
      <c r="B515">
        <v>18.913419999999999</v>
      </c>
      <c r="C515">
        <v>10184.360352</v>
      </c>
    </row>
    <row r="516" spans="1:3" x14ac:dyDescent="0.3">
      <c r="A516" s="127">
        <v>44124</v>
      </c>
      <c r="B516">
        <v>18.913419999999999</v>
      </c>
      <c r="C516">
        <v>10146.230469</v>
      </c>
    </row>
    <row r="517" spans="1:3" x14ac:dyDescent="0.3">
      <c r="A517" s="127">
        <v>44125</v>
      </c>
      <c r="B517">
        <v>18.756298000000001</v>
      </c>
      <c r="C517">
        <v>9989.75</v>
      </c>
    </row>
    <row r="518" spans="1:3" x14ac:dyDescent="0.3">
      <c r="A518" s="127">
        <v>44126</v>
      </c>
      <c r="B518">
        <v>18.923238999999999</v>
      </c>
      <c r="C518">
        <v>9999.0498050000006</v>
      </c>
    </row>
    <row r="519" spans="1:3" x14ac:dyDescent="0.3">
      <c r="A519" s="127">
        <v>44127</v>
      </c>
      <c r="B519">
        <v>18.589357</v>
      </c>
      <c r="C519">
        <v>10023.900390999999</v>
      </c>
    </row>
    <row r="520" spans="1:3" x14ac:dyDescent="0.3">
      <c r="A520" s="127">
        <v>44130</v>
      </c>
      <c r="B520">
        <v>18.324214999999999</v>
      </c>
      <c r="C520">
        <v>9985.6201170000004</v>
      </c>
    </row>
    <row r="521" spans="1:3" x14ac:dyDescent="0.3">
      <c r="A521" s="127">
        <v>44131</v>
      </c>
      <c r="B521">
        <v>18.825039</v>
      </c>
      <c r="C521">
        <v>9887.4902340000008</v>
      </c>
    </row>
    <row r="522" spans="1:3" x14ac:dyDescent="0.3">
      <c r="A522" s="127">
        <v>44132</v>
      </c>
      <c r="B522">
        <v>18.687557000000002</v>
      </c>
      <c r="C522">
        <v>9618.6503909999992</v>
      </c>
    </row>
    <row r="523" spans="1:3" x14ac:dyDescent="0.3">
      <c r="A523" s="127">
        <v>44133</v>
      </c>
      <c r="B523">
        <v>18.785757</v>
      </c>
      <c r="C523">
        <v>9556.1396480000003</v>
      </c>
    </row>
    <row r="524" spans="1:3" x14ac:dyDescent="0.3">
      <c r="A524" s="127">
        <v>44134</v>
      </c>
      <c r="B524">
        <v>18.510798000000001</v>
      </c>
      <c r="C524">
        <v>9587.1503909999992</v>
      </c>
    </row>
    <row r="525" spans="1:3" x14ac:dyDescent="0.3">
      <c r="A525" s="127">
        <v>44137</v>
      </c>
      <c r="B525">
        <v>18.952698000000002</v>
      </c>
      <c r="C525">
        <v>9791.6796880000002</v>
      </c>
    </row>
    <row r="526" spans="1:3" x14ac:dyDescent="0.3">
      <c r="A526" s="127">
        <v>44138</v>
      </c>
      <c r="B526">
        <v>19.158919999999998</v>
      </c>
      <c r="C526">
        <v>10003.820313</v>
      </c>
    </row>
    <row r="527" spans="1:3" x14ac:dyDescent="0.3">
      <c r="A527" s="127">
        <v>44139</v>
      </c>
      <c r="B527">
        <v>19.836504000000001</v>
      </c>
      <c r="C527">
        <v>10286.790039</v>
      </c>
    </row>
    <row r="528" spans="1:3" x14ac:dyDescent="0.3">
      <c r="A528" s="127">
        <v>44140</v>
      </c>
      <c r="B528">
        <v>20.347145000000001</v>
      </c>
      <c r="C528">
        <v>10306.349609000001</v>
      </c>
    </row>
    <row r="529" spans="1:3" x14ac:dyDescent="0.3">
      <c r="A529" s="127">
        <v>44141</v>
      </c>
      <c r="B529">
        <v>20.366785</v>
      </c>
      <c r="C529">
        <v>10322.570313</v>
      </c>
    </row>
    <row r="530" spans="1:3" x14ac:dyDescent="0.3">
      <c r="A530" s="127">
        <v>44144</v>
      </c>
      <c r="B530">
        <v>18.785757</v>
      </c>
      <c r="C530">
        <v>10417.990234000001</v>
      </c>
    </row>
    <row r="531" spans="1:3" x14ac:dyDescent="0.3">
      <c r="A531" s="127">
        <v>44145</v>
      </c>
      <c r="B531">
        <v>18.746476999999999</v>
      </c>
      <c r="C531">
        <v>10360.690430000001</v>
      </c>
    </row>
    <row r="532" spans="1:3" x14ac:dyDescent="0.3">
      <c r="A532" s="127">
        <v>44146</v>
      </c>
      <c r="B532">
        <v>18.834858000000001</v>
      </c>
      <c r="C532">
        <v>10532.269531</v>
      </c>
    </row>
    <row r="533" spans="1:3" x14ac:dyDescent="0.3">
      <c r="A533" s="127">
        <v>44147</v>
      </c>
      <c r="B533">
        <v>19.208019</v>
      </c>
      <c r="C533">
        <v>10496.200194999999</v>
      </c>
    </row>
    <row r="534" spans="1:3" x14ac:dyDescent="0.3">
      <c r="A534" s="127">
        <v>44148</v>
      </c>
      <c r="B534">
        <v>19.090178999999999</v>
      </c>
      <c r="C534">
        <v>10492.610352</v>
      </c>
    </row>
    <row r="535" spans="1:3" x14ac:dyDescent="0.3">
      <c r="A535" s="127">
        <v>44151</v>
      </c>
      <c r="B535">
        <v>19.453522</v>
      </c>
      <c r="C535">
        <v>10586.740234000001</v>
      </c>
    </row>
    <row r="536" spans="1:3" x14ac:dyDescent="0.3">
      <c r="A536" s="127">
        <v>44152</v>
      </c>
      <c r="B536">
        <v>19.433882000000001</v>
      </c>
      <c r="C536">
        <v>10565.120117</v>
      </c>
    </row>
    <row r="537" spans="1:3" x14ac:dyDescent="0.3">
      <c r="A537" s="127">
        <v>44153</v>
      </c>
      <c r="B537">
        <v>19.571362000000001</v>
      </c>
      <c r="C537">
        <v>10563.889648</v>
      </c>
    </row>
    <row r="538" spans="1:3" x14ac:dyDescent="0.3">
      <c r="A538" s="127">
        <v>44154</v>
      </c>
      <c r="B538">
        <v>19.610641000000001</v>
      </c>
      <c r="C538">
        <v>10490.769531</v>
      </c>
    </row>
    <row r="539" spans="1:3" x14ac:dyDescent="0.3">
      <c r="A539" s="127">
        <v>44155</v>
      </c>
      <c r="B539">
        <v>19.738303999999999</v>
      </c>
      <c r="C539">
        <v>10495.650390999999</v>
      </c>
    </row>
    <row r="540" spans="1:3" x14ac:dyDescent="0.3">
      <c r="A540" s="127">
        <v>44158</v>
      </c>
      <c r="B540">
        <v>19.404420999999999</v>
      </c>
      <c r="C540">
        <v>10464.400390999999</v>
      </c>
    </row>
    <row r="541" spans="1:3" x14ac:dyDescent="0.3">
      <c r="A541" s="127">
        <v>44159</v>
      </c>
      <c r="B541">
        <v>18.815218000000002</v>
      </c>
      <c r="C541">
        <v>10491.589844</v>
      </c>
    </row>
    <row r="542" spans="1:3" x14ac:dyDescent="0.3">
      <c r="A542" s="127">
        <v>44160</v>
      </c>
      <c r="B542">
        <v>19.050899999999999</v>
      </c>
      <c r="C542">
        <v>10488.269531</v>
      </c>
    </row>
    <row r="543" spans="1:3" x14ac:dyDescent="0.3">
      <c r="A543" s="127">
        <v>44161</v>
      </c>
      <c r="B543">
        <v>19.699021999999999</v>
      </c>
      <c r="C543">
        <v>10497.790039</v>
      </c>
    </row>
    <row r="544" spans="1:3" x14ac:dyDescent="0.3">
      <c r="A544" s="127">
        <v>44162</v>
      </c>
      <c r="B544">
        <v>19.954343999999999</v>
      </c>
      <c r="C544">
        <v>10501.179688</v>
      </c>
    </row>
    <row r="545" spans="1:3" x14ac:dyDescent="0.3">
      <c r="A545" s="127">
        <v>44165</v>
      </c>
      <c r="B545">
        <v>20.523907000000001</v>
      </c>
      <c r="C545">
        <v>10476.429688</v>
      </c>
    </row>
    <row r="546" spans="1:3" x14ac:dyDescent="0.3">
      <c r="A546" s="127">
        <v>44166</v>
      </c>
      <c r="B546">
        <v>19.541900999999999</v>
      </c>
      <c r="C546">
        <v>10449.209961</v>
      </c>
    </row>
    <row r="547" spans="1:3" x14ac:dyDescent="0.3">
      <c r="A547" s="127">
        <v>44167</v>
      </c>
      <c r="B547">
        <v>19.433882000000001</v>
      </c>
      <c r="C547">
        <v>10435.360352</v>
      </c>
    </row>
    <row r="548" spans="1:3" x14ac:dyDescent="0.3">
      <c r="A548" s="127">
        <v>44168</v>
      </c>
      <c r="B548">
        <v>19.149099</v>
      </c>
      <c r="C548">
        <v>10342.629883</v>
      </c>
    </row>
    <row r="549" spans="1:3" x14ac:dyDescent="0.3">
      <c r="A549" s="127">
        <v>44169</v>
      </c>
      <c r="B549">
        <v>19.1982</v>
      </c>
      <c r="C549">
        <v>10364.5</v>
      </c>
    </row>
    <row r="550" spans="1:3" x14ac:dyDescent="0.3">
      <c r="A550" s="127">
        <v>44172</v>
      </c>
      <c r="B550">
        <v>19.139279999999999</v>
      </c>
      <c r="C550">
        <v>10375.379883</v>
      </c>
    </row>
    <row r="551" spans="1:3" x14ac:dyDescent="0.3">
      <c r="A551" s="127">
        <v>44173</v>
      </c>
      <c r="B551">
        <v>19.296399999999998</v>
      </c>
      <c r="C551">
        <v>10394.099609000001</v>
      </c>
    </row>
    <row r="552" spans="1:3" x14ac:dyDescent="0.3">
      <c r="A552" s="127">
        <v>44174</v>
      </c>
      <c r="B552">
        <v>19.266940999999999</v>
      </c>
      <c r="C552">
        <v>10430.019531</v>
      </c>
    </row>
    <row r="553" spans="1:3" x14ac:dyDescent="0.3">
      <c r="A553" s="127">
        <v>44175</v>
      </c>
      <c r="B553">
        <v>19.394601999999999</v>
      </c>
      <c r="C553">
        <v>10395.959961</v>
      </c>
    </row>
    <row r="554" spans="1:3" x14ac:dyDescent="0.3">
      <c r="A554" s="127">
        <v>44176</v>
      </c>
      <c r="B554">
        <v>19.208019</v>
      </c>
      <c r="C554">
        <v>10391.759765999999</v>
      </c>
    </row>
    <row r="555" spans="1:3" x14ac:dyDescent="0.3">
      <c r="A555" s="127">
        <v>44179</v>
      </c>
      <c r="B555">
        <v>19.355319999999999</v>
      </c>
      <c r="C555">
        <v>10373.030273</v>
      </c>
    </row>
    <row r="556" spans="1:3" x14ac:dyDescent="0.3">
      <c r="A556" s="127">
        <v>44180</v>
      </c>
      <c r="B556">
        <v>19.738303999999999</v>
      </c>
      <c r="C556">
        <v>10341.179688</v>
      </c>
    </row>
    <row r="557" spans="1:3" x14ac:dyDescent="0.3">
      <c r="A557" s="127">
        <v>44181</v>
      </c>
      <c r="B557">
        <v>19.25712</v>
      </c>
      <c r="C557">
        <v>10456.780273</v>
      </c>
    </row>
    <row r="558" spans="1:3" x14ac:dyDescent="0.3">
      <c r="A558" s="127">
        <v>44182</v>
      </c>
      <c r="B558">
        <v>19.433882000000001</v>
      </c>
      <c r="C558">
        <v>10540.360352</v>
      </c>
    </row>
    <row r="559" spans="1:3" x14ac:dyDescent="0.3">
      <c r="A559" s="127">
        <v>44183</v>
      </c>
      <c r="B559">
        <v>19.679383999999999</v>
      </c>
      <c r="C559">
        <v>10523.860352</v>
      </c>
    </row>
    <row r="560" spans="1:3" x14ac:dyDescent="0.3">
      <c r="A560" s="127">
        <v>44186</v>
      </c>
      <c r="B560">
        <v>19.551722000000002</v>
      </c>
      <c r="C560">
        <v>10305.519531</v>
      </c>
    </row>
    <row r="561" spans="1:3" x14ac:dyDescent="0.3">
      <c r="A561" s="127">
        <v>44187</v>
      </c>
      <c r="B561">
        <v>19.757943999999998</v>
      </c>
      <c r="C561">
        <v>10403.370117</v>
      </c>
    </row>
    <row r="562" spans="1:3" x14ac:dyDescent="0.3">
      <c r="A562" s="127">
        <v>44188</v>
      </c>
      <c r="B562">
        <v>19.973984000000002</v>
      </c>
      <c r="C562">
        <v>10411.919921999999</v>
      </c>
    </row>
    <row r="563" spans="1:3" x14ac:dyDescent="0.3">
      <c r="A563" s="127">
        <v>44193</v>
      </c>
      <c r="B563">
        <v>20.052546</v>
      </c>
      <c r="C563">
        <v>10603.490234000001</v>
      </c>
    </row>
    <row r="564" spans="1:3" x14ac:dyDescent="0.3">
      <c r="A564" s="127">
        <v>44194</v>
      </c>
      <c r="B564">
        <v>20.229305</v>
      </c>
      <c r="C564">
        <v>10682.040039</v>
      </c>
    </row>
    <row r="565" spans="1:3" x14ac:dyDescent="0.3">
      <c r="A565" s="127">
        <v>44195</v>
      </c>
      <c r="B565">
        <v>20.170385</v>
      </c>
      <c r="C565">
        <v>10703.509765999999</v>
      </c>
    </row>
    <row r="566" spans="1:3" x14ac:dyDescent="0.3">
      <c r="A566" s="127">
        <v>44200</v>
      </c>
      <c r="B566">
        <v>20.072185999999999</v>
      </c>
      <c r="C566">
        <v>10703.509765999999</v>
      </c>
    </row>
    <row r="567" spans="1:3" x14ac:dyDescent="0.3">
      <c r="A567" s="127">
        <v>44201</v>
      </c>
      <c r="B567">
        <v>19.738303999999999</v>
      </c>
      <c r="C567">
        <v>10694.089844</v>
      </c>
    </row>
    <row r="568" spans="1:3" x14ac:dyDescent="0.3">
      <c r="A568" s="127">
        <v>44202</v>
      </c>
      <c r="B568">
        <v>19.551722000000002</v>
      </c>
      <c r="C568">
        <v>10747.080078000001</v>
      </c>
    </row>
    <row r="569" spans="1:3" x14ac:dyDescent="0.3">
      <c r="A569" s="127">
        <v>44203</v>
      </c>
      <c r="B569">
        <v>19.512442</v>
      </c>
      <c r="C569">
        <v>10778.669921999999</v>
      </c>
    </row>
    <row r="570" spans="1:3" x14ac:dyDescent="0.3">
      <c r="A570" s="127">
        <v>44204</v>
      </c>
      <c r="B570">
        <v>19.571362000000001</v>
      </c>
      <c r="C570">
        <v>10797.990234000001</v>
      </c>
    </row>
    <row r="571" spans="1:3" x14ac:dyDescent="0.3">
      <c r="A571" s="127">
        <v>44207</v>
      </c>
      <c r="B571">
        <v>19.718661999999998</v>
      </c>
      <c r="C571">
        <v>10870.419921999999</v>
      </c>
    </row>
    <row r="572" spans="1:3" x14ac:dyDescent="0.3">
      <c r="A572" s="127">
        <v>44208</v>
      </c>
      <c r="B572">
        <v>19.915064000000001</v>
      </c>
      <c r="C572">
        <v>10875.25</v>
      </c>
    </row>
    <row r="573" spans="1:3" x14ac:dyDescent="0.3">
      <c r="A573" s="127">
        <v>44209</v>
      </c>
      <c r="B573">
        <v>20.150745000000001</v>
      </c>
      <c r="C573">
        <v>10846.879883</v>
      </c>
    </row>
    <row r="574" spans="1:3" x14ac:dyDescent="0.3">
      <c r="A574" s="127">
        <v>44210</v>
      </c>
      <c r="B574">
        <v>20.131105000000002</v>
      </c>
      <c r="C574">
        <v>10850.809569999999</v>
      </c>
    </row>
    <row r="575" spans="1:3" x14ac:dyDescent="0.3">
      <c r="A575" s="127">
        <v>44211</v>
      </c>
      <c r="B575">
        <v>20.111464000000002</v>
      </c>
      <c r="C575">
        <v>10877.059569999999</v>
      </c>
    </row>
    <row r="576" spans="1:3" x14ac:dyDescent="0.3">
      <c r="A576" s="127">
        <v>44214</v>
      </c>
      <c r="B576">
        <v>20.209665000000001</v>
      </c>
      <c r="C576">
        <v>10888.540039</v>
      </c>
    </row>
    <row r="577" spans="1:3" x14ac:dyDescent="0.3">
      <c r="A577" s="127">
        <v>44215</v>
      </c>
      <c r="B577">
        <v>20.602467000000001</v>
      </c>
      <c r="C577">
        <v>10876.980469</v>
      </c>
    </row>
    <row r="578" spans="1:3" x14ac:dyDescent="0.3">
      <c r="A578" s="127">
        <v>44216</v>
      </c>
      <c r="B578">
        <v>20.720307999999999</v>
      </c>
      <c r="C578">
        <v>10945.459961</v>
      </c>
    </row>
    <row r="579" spans="1:3" x14ac:dyDescent="0.3">
      <c r="A579" s="127">
        <v>44217</v>
      </c>
      <c r="B579">
        <v>20.975629999999999</v>
      </c>
      <c r="C579">
        <v>10913.110352</v>
      </c>
    </row>
    <row r="580" spans="1:3" x14ac:dyDescent="0.3">
      <c r="A580" s="127">
        <v>44218</v>
      </c>
      <c r="B580">
        <v>21.270230999999999</v>
      </c>
      <c r="C580">
        <v>10913.110352</v>
      </c>
    </row>
    <row r="581" spans="1:3" x14ac:dyDescent="0.3">
      <c r="A581" s="127">
        <v>44221</v>
      </c>
      <c r="B581">
        <v>21.01491</v>
      </c>
      <c r="C581">
        <v>10925.700194999999</v>
      </c>
    </row>
    <row r="582" spans="1:3" x14ac:dyDescent="0.3">
      <c r="A582" s="127">
        <v>44222</v>
      </c>
      <c r="B582">
        <v>21.329151</v>
      </c>
      <c r="C582">
        <v>10964.049805000001</v>
      </c>
    </row>
    <row r="583" spans="1:3" x14ac:dyDescent="0.3">
      <c r="A583" s="127">
        <v>44223</v>
      </c>
      <c r="B583">
        <v>20.95599</v>
      </c>
      <c r="C583">
        <v>10904.240234000001</v>
      </c>
    </row>
    <row r="584" spans="1:3" x14ac:dyDescent="0.3">
      <c r="A584" s="127">
        <v>44224</v>
      </c>
      <c r="B584">
        <v>21.191669000000001</v>
      </c>
      <c r="C584">
        <v>10849.820313</v>
      </c>
    </row>
    <row r="585" spans="1:3" x14ac:dyDescent="0.3">
      <c r="A585" s="127">
        <v>44225</v>
      </c>
      <c r="B585">
        <v>20.838148</v>
      </c>
      <c r="C585">
        <v>10591.059569999999</v>
      </c>
    </row>
    <row r="586" spans="1:3" x14ac:dyDescent="0.3">
      <c r="A586" s="127">
        <v>44228</v>
      </c>
      <c r="B586">
        <v>21.113109999999999</v>
      </c>
      <c r="C586">
        <v>10740.219727</v>
      </c>
    </row>
    <row r="587" spans="1:3" x14ac:dyDescent="0.3">
      <c r="A587" s="127">
        <v>44229</v>
      </c>
      <c r="B587">
        <v>21.446992999999999</v>
      </c>
      <c r="C587">
        <v>10803.570313</v>
      </c>
    </row>
    <row r="588" spans="1:3" x14ac:dyDescent="0.3">
      <c r="A588" s="127">
        <v>44230</v>
      </c>
      <c r="B588">
        <v>21.564831000000002</v>
      </c>
      <c r="C588">
        <v>10775.679688</v>
      </c>
    </row>
    <row r="589" spans="1:3" x14ac:dyDescent="0.3">
      <c r="A589" s="127">
        <v>44231</v>
      </c>
      <c r="B589">
        <v>21.427351000000002</v>
      </c>
      <c r="C589">
        <v>10860.950194999999</v>
      </c>
    </row>
    <row r="590" spans="1:3" x14ac:dyDescent="0.3">
      <c r="A590" s="127">
        <v>44232</v>
      </c>
      <c r="B590">
        <v>21.368431000000001</v>
      </c>
      <c r="C590">
        <v>10755.469727</v>
      </c>
    </row>
    <row r="591" spans="1:3" x14ac:dyDescent="0.3">
      <c r="A591" s="127">
        <v>44235</v>
      </c>
      <c r="B591">
        <v>21.388072999999999</v>
      </c>
      <c r="C591">
        <v>10778.830078000001</v>
      </c>
    </row>
    <row r="592" spans="1:3" x14ac:dyDescent="0.3">
      <c r="A592" s="127">
        <v>44236</v>
      </c>
      <c r="B592">
        <v>21.663032999999999</v>
      </c>
      <c r="C592">
        <v>10803.669921999999</v>
      </c>
    </row>
    <row r="593" spans="1:3" x14ac:dyDescent="0.3">
      <c r="A593" s="127">
        <v>44237</v>
      </c>
      <c r="B593">
        <v>21.741592000000001</v>
      </c>
      <c r="C593">
        <v>10825.75</v>
      </c>
    </row>
    <row r="594" spans="1:3" x14ac:dyDescent="0.3">
      <c r="A594" s="127">
        <v>44238</v>
      </c>
      <c r="B594">
        <v>22.212956999999999</v>
      </c>
      <c r="C594">
        <v>10852.910156</v>
      </c>
    </row>
    <row r="595" spans="1:3" x14ac:dyDescent="0.3">
      <c r="A595" s="127">
        <v>44239</v>
      </c>
      <c r="B595">
        <v>22.507556999999998</v>
      </c>
      <c r="C595">
        <v>10880.370117</v>
      </c>
    </row>
    <row r="596" spans="1:3" x14ac:dyDescent="0.3">
      <c r="A596" s="127">
        <v>44242</v>
      </c>
      <c r="B596">
        <v>22.762878000000001</v>
      </c>
      <c r="C596">
        <v>10880.370117</v>
      </c>
    </row>
    <row r="597" spans="1:3" x14ac:dyDescent="0.3">
      <c r="A597" s="127">
        <v>44243</v>
      </c>
      <c r="B597">
        <v>22.880718000000002</v>
      </c>
      <c r="C597">
        <v>10907.599609000001</v>
      </c>
    </row>
    <row r="598" spans="1:3" x14ac:dyDescent="0.3">
      <c r="A598" s="127">
        <v>44244</v>
      </c>
      <c r="B598">
        <v>22.507556999999998</v>
      </c>
      <c r="C598">
        <v>10907.599609000001</v>
      </c>
    </row>
    <row r="599" spans="1:3" x14ac:dyDescent="0.3">
      <c r="A599" s="127">
        <v>44245</v>
      </c>
      <c r="B599">
        <v>21.898713999999998</v>
      </c>
      <c r="C599">
        <v>10717.709961</v>
      </c>
    </row>
    <row r="600" spans="1:3" x14ac:dyDescent="0.3">
      <c r="A600" s="127">
        <v>44246</v>
      </c>
      <c r="B600">
        <v>21.898713999999998</v>
      </c>
      <c r="C600">
        <v>10704.75</v>
      </c>
    </row>
    <row r="601" spans="1:3" x14ac:dyDescent="0.3">
      <c r="A601" s="127">
        <v>44249</v>
      </c>
      <c r="B601">
        <v>21.800514</v>
      </c>
      <c r="C601">
        <v>10697.379883</v>
      </c>
    </row>
    <row r="602" spans="1:3" x14ac:dyDescent="0.3">
      <c r="A602" s="127">
        <v>44250</v>
      </c>
      <c r="B602">
        <v>19.600821</v>
      </c>
      <c r="C602">
        <v>10609.030273</v>
      </c>
    </row>
    <row r="603" spans="1:3" x14ac:dyDescent="0.3">
      <c r="A603" s="127">
        <v>44251</v>
      </c>
      <c r="B603">
        <v>20.131105000000002</v>
      </c>
      <c r="C603">
        <v>10727.700194999999</v>
      </c>
    </row>
    <row r="604" spans="1:3" x14ac:dyDescent="0.3">
      <c r="A604" s="127">
        <v>44252</v>
      </c>
      <c r="B604">
        <v>20.229305</v>
      </c>
      <c r="C604">
        <v>10658.870117</v>
      </c>
    </row>
    <row r="605" spans="1:3" x14ac:dyDescent="0.3">
      <c r="A605" s="127">
        <v>44253</v>
      </c>
      <c r="B605">
        <v>19.777581999999999</v>
      </c>
      <c r="C605">
        <v>10522.219727</v>
      </c>
    </row>
    <row r="606" spans="1:3" x14ac:dyDescent="0.3">
      <c r="A606" s="127">
        <v>44256</v>
      </c>
      <c r="B606">
        <v>19.659742000000001</v>
      </c>
      <c r="C606">
        <v>10706.589844</v>
      </c>
    </row>
    <row r="607" spans="1:3" x14ac:dyDescent="0.3">
      <c r="A607" s="127">
        <v>44257</v>
      </c>
      <c r="B607">
        <v>19.031258000000001</v>
      </c>
      <c r="C607">
        <v>10817.150390999999</v>
      </c>
    </row>
    <row r="608" spans="1:3" x14ac:dyDescent="0.3">
      <c r="A608" s="127">
        <v>44258</v>
      </c>
      <c r="B608">
        <v>19.384781</v>
      </c>
      <c r="C608">
        <v>10817.150390999999</v>
      </c>
    </row>
    <row r="609" spans="1:3" x14ac:dyDescent="0.3">
      <c r="A609" s="127">
        <v>44259</v>
      </c>
      <c r="B609">
        <v>19.384781</v>
      </c>
      <c r="C609">
        <v>10750.089844</v>
      </c>
    </row>
    <row r="610" spans="1:3" x14ac:dyDescent="0.3">
      <c r="A610" s="127">
        <v>44260</v>
      </c>
      <c r="B610">
        <v>19.306221000000001</v>
      </c>
      <c r="C610">
        <v>10607.790039</v>
      </c>
    </row>
    <row r="611" spans="1:3" x14ac:dyDescent="0.3">
      <c r="A611" s="127">
        <v>44263</v>
      </c>
      <c r="B611">
        <v>19.355319999999999</v>
      </c>
      <c r="C611">
        <v>10830.379883</v>
      </c>
    </row>
    <row r="612" spans="1:3" x14ac:dyDescent="0.3">
      <c r="A612" s="127">
        <v>44264</v>
      </c>
      <c r="B612">
        <v>19.296399999999998</v>
      </c>
      <c r="C612">
        <v>10857.969727</v>
      </c>
    </row>
    <row r="613" spans="1:3" x14ac:dyDescent="0.3">
      <c r="A613" s="127">
        <v>44265</v>
      </c>
      <c r="B613">
        <v>19.591003000000001</v>
      </c>
      <c r="C613">
        <v>10909.769531</v>
      </c>
    </row>
    <row r="614" spans="1:3" x14ac:dyDescent="0.3">
      <c r="A614" s="127">
        <v>44266</v>
      </c>
      <c r="B614">
        <v>20.032903999999998</v>
      </c>
      <c r="C614">
        <v>10883.230469</v>
      </c>
    </row>
    <row r="615" spans="1:3" x14ac:dyDescent="0.3">
      <c r="A615" s="127">
        <v>44267</v>
      </c>
      <c r="B615">
        <v>19.915064000000001</v>
      </c>
      <c r="C615">
        <v>10839.929688</v>
      </c>
    </row>
    <row r="616" spans="1:3" x14ac:dyDescent="0.3">
      <c r="A616" s="127">
        <v>44270</v>
      </c>
      <c r="B616">
        <v>19.640101999999999</v>
      </c>
      <c r="C616">
        <v>10867.330078000001</v>
      </c>
    </row>
    <row r="617" spans="1:3" x14ac:dyDescent="0.3">
      <c r="A617" s="127">
        <v>44271</v>
      </c>
      <c r="B617">
        <v>20.425705000000001</v>
      </c>
      <c r="C617">
        <v>10944.480469</v>
      </c>
    </row>
    <row r="618" spans="1:3" x14ac:dyDescent="0.3">
      <c r="A618" s="127">
        <v>44272</v>
      </c>
      <c r="B618">
        <v>20.484627</v>
      </c>
      <c r="C618">
        <v>10922.490234000001</v>
      </c>
    </row>
    <row r="619" spans="1:3" x14ac:dyDescent="0.3">
      <c r="A619" s="127">
        <v>44273</v>
      </c>
      <c r="B619">
        <v>20.838148</v>
      </c>
      <c r="C619">
        <v>10973.759765999999</v>
      </c>
    </row>
    <row r="620" spans="1:3" x14ac:dyDescent="0.3">
      <c r="A620" s="127">
        <v>44274</v>
      </c>
      <c r="B620">
        <v>21.486270999999999</v>
      </c>
      <c r="C620">
        <v>10967.370117</v>
      </c>
    </row>
    <row r="621" spans="1:3" x14ac:dyDescent="0.3">
      <c r="A621" s="127">
        <v>44277</v>
      </c>
      <c r="B621">
        <v>21.486270999999999</v>
      </c>
      <c r="C621">
        <v>11048.580078000001</v>
      </c>
    </row>
    <row r="622" spans="1:3" x14ac:dyDescent="0.3">
      <c r="A622" s="127">
        <v>44278</v>
      </c>
      <c r="B622">
        <v>21.348790999999999</v>
      </c>
      <c r="C622">
        <v>11098.660156</v>
      </c>
    </row>
    <row r="623" spans="1:3" x14ac:dyDescent="0.3">
      <c r="A623" s="127">
        <v>44279</v>
      </c>
      <c r="B623">
        <v>21.152391000000001</v>
      </c>
      <c r="C623">
        <v>11063.870117</v>
      </c>
    </row>
    <row r="624" spans="1:3" x14ac:dyDescent="0.3">
      <c r="A624" s="127">
        <v>44280</v>
      </c>
      <c r="B624">
        <v>20.798867999999999</v>
      </c>
      <c r="C624">
        <v>11098.809569999999</v>
      </c>
    </row>
    <row r="625" spans="1:3" x14ac:dyDescent="0.3">
      <c r="A625" s="127">
        <v>44281</v>
      </c>
      <c r="B625">
        <v>20.916708</v>
      </c>
      <c r="C625">
        <v>11116.809569999999</v>
      </c>
    </row>
    <row r="626" spans="1:3" x14ac:dyDescent="0.3">
      <c r="A626" s="127">
        <v>44284</v>
      </c>
      <c r="B626">
        <v>20.838148</v>
      </c>
      <c r="C626">
        <v>11089.599609000001</v>
      </c>
    </row>
    <row r="627" spans="1:3" x14ac:dyDescent="0.3">
      <c r="A627" s="127">
        <v>44285</v>
      </c>
      <c r="B627">
        <v>20.87743</v>
      </c>
      <c r="C627">
        <v>11121.419921999999</v>
      </c>
    </row>
    <row r="628" spans="1:3" x14ac:dyDescent="0.3">
      <c r="A628" s="127">
        <v>44286</v>
      </c>
      <c r="B628">
        <v>21.466633000000002</v>
      </c>
      <c r="C628">
        <v>11047.370117</v>
      </c>
    </row>
    <row r="629" spans="1:3" x14ac:dyDescent="0.3">
      <c r="A629" s="127">
        <v>44287</v>
      </c>
      <c r="B629">
        <v>21.780874000000001</v>
      </c>
      <c r="C629">
        <v>11118.030273</v>
      </c>
    </row>
    <row r="630" spans="1:3" x14ac:dyDescent="0.3">
      <c r="A630" s="127">
        <v>44292</v>
      </c>
      <c r="B630">
        <v>21.820152</v>
      </c>
      <c r="C630">
        <v>11182.950194999999</v>
      </c>
    </row>
    <row r="631" spans="1:3" x14ac:dyDescent="0.3">
      <c r="A631" s="127">
        <v>44293</v>
      </c>
      <c r="B631">
        <v>21.741592000000001</v>
      </c>
      <c r="C631">
        <v>11128.179688</v>
      </c>
    </row>
    <row r="632" spans="1:3" x14ac:dyDescent="0.3">
      <c r="A632" s="127">
        <v>44294</v>
      </c>
      <c r="B632">
        <v>22.134395999999999</v>
      </c>
      <c r="C632">
        <v>11206.879883</v>
      </c>
    </row>
    <row r="633" spans="1:3" x14ac:dyDescent="0.3">
      <c r="A633" s="127">
        <v>44295</v>
      </c>
      <c r="B633">
        <v>22.330794999999998</v>
      </c>
      <c r="C633">
        <v>11238.519531</v>
      </c>
    </row>
    <row r="634" spans="1:3" x14ac:dyDescent="0.3">
      <c r="A634" s="127">
        <v>44298</v>
      </c>
      <c r="B634">
        <v>22.271877</v>
      </c>
      <c r="C634">
        <v>11181.349609000001</v>
      </c>
    </row>
    <row r="635" spans="1:3" x14ac:dyDescent="0.3">
      <c r="A635" s="127">
        <v>44299</v>
      </c>
      <c r="B635">
        <v>22.252234999999999</v>
      </c>
      <c r="C635">
        <v>11122.370117</v>
      </c>
    </row>
    <row r="636" spans="1:3" x14ac:dyDescent="0.3">
      <c r="A636" s="127">
        <v>44300</v>
      </c>
      <c r="B636">
        <v>21.957636000000001</v>
      </c>
      <c r="C636">
        <v>11156.209961</v>
      </c>
    </row>
    <row r="637" spans="1:3" x14ac:dyDescent="0.3">
      <c r="A637" s="127">
        <v>44301</v>
      </c>
      <c r="B637">
        <v>22.212956999999999</v>
      </c>
      <c r="C637">
        <v>11198.700194999999</v>
      </c>
    </row>
    <row r="638" spans="1:3" x14ac:dyDescent="0.3">
      <c r="A638" s="127">
        <v>44302</v>
      </c>
      <c r="B638">
        <v>22.487916999999999</v>
      </c>
      <c r="C638">
        <v>11262.969727</v>
      </c>
    </row>
    <row r="639" spans="1:3" x14ac:dyDescent="0.3">
      <c r="A639" s="127">
        <v>44305</v>
      </c>
      <c r="B639">
        <v>22.664679</v>
      </c>
      <c r="C639">
        <v>11209.839844</v>
      </c>
    </row>
    <row r="640" spans="1:3" x14ac:dyDescent="0.3">
      <c r="A640" s="127">
        <v>44306</v>
      </c>
      <c r="B640">
        <v>22.212956999999999</v>
      </c>
      <c r="C640">
        <v>11078.980469</v>
      </c>
    </row>
    <row r="641" spans="1:3" x14ac:dyDescent="0.3">
      <c r="A641" s="127">
        <v>44307</v>
      </c>
      <c r="B641">
        <v>22.684318999999999</v>
      </c>
      <c r="C641">
        <v>11209.089844</v>
      </c>
    </row>
    <row r="642" spans="1:3" x14ac:dyDescent="0.3">
      <c r="A642" s="127">
        <v>44308</v>
      </c>
      <c r="B642">
        <v>22.566476999999999</v>
      </c>
      <c r="C642">
        <v>11224.900390999999</v>
      </c>
    </row>
    <row r="643" spans="1:3" x14ac:dyDescent="0.3">
      <c r="A643" s="127">
        <v>44309</v>
      </c>
      <c r="B643">
        <v>22.92</v>
      </c>
      <c r="C643">
        <v>11200.540039</v>
      </c>
    </row>
    <row r="644" spans="1:3" x14ac:dyDescent="0.3">
      <c r="A644" s="127">
        <v>44312</v>
      </c>
      <c r="B644">
        <v>23.059999000000001</v>
      </c>
      <c r="C644">
        <v>11162.089844</v>
      </c>
    </row>
    <row r="645" spans="1:3" x14ac:dyDescent="0.3">
      <c r="A645" s="127">
        <v>44313</v>
      </c>
      <c r="B645">
        <v>22.74</v>
      </c>
      <c r="C645">
        <v>11092.080078000001</v>
      </c>
    </row>
    <row r="646" spans="1:3" x14ac:dyDescent="0.3">
      <c r="A646" s="127">
        <v>44314</v>
      </c>
      <c r="B646">
        <v>22.879999000000002</v>
      </c>
      <c r="C646">
        <v>11103.459961</v>
      </c>
    </row>
    <row r="647" spans="1:3" x14ac:dyDescent="0.3">
      <c r="A647" s="127">
        <v>44315</v>
      </c>
      <c r="B647">
        <v>22.68</v>
      </c>
      <c r="C647">
        <v>11079.509765999999</v>
      </c>
    </row>
    <row r="648" spans="1:3" x14ac:dyDescent="0.3">
      <c r="A648" s="127">
        <v>44316</v>
      </c>
      <c r="B648">
        <v>22.360001</v>
      </c>
      <c r="C648">
        <v>11022.339844</v>
      </c>
    </row>
    <row r="649" spans="1:3" x14ac:dyDescent="0.3">
      <c r="A649" s="127">
        <v>44319</v>
      </c>
      <c r="B649">
        <v>22.620000999999998</v>
      </c>
      <c r="C649">
        <v>11119</v>
      </c>
    </row>
    <row r="650" spans="1:3" x14ac:dyDescent="0.3">
      <c r="A650" s="127">
        <v>44320</v>
      </c>
      <c r="B650">
        <v>22.059999000000001</v>
      </c>
      <c r="C650">
        <v>10970.929688</v>
      </c>
    </row>
    <row r="651" spans="1:3" x14ac:dyDescent="0.3">
      <c r="A651" s="127">
        <v>44321</v>
      </c>
      <c r="B651">
        <v>22.84</v>
      </c>
      <c r="C651">
        <v>10970.929688</v>
      </c>
    </row>
    <row r="652" spans="1:3" x14ac:dyDescent="0.3">
      <c r="A652" s="127">
        <v>44322</v>
      </c>
      <c r="B652">
        <v>22.58</v>
      </c>
      <c r="C652">
        <v>11111.099609000001</v>
      </c>
    </row>
    <row r="653" spans="1:3" x14ac:dyDescent="0.3">
      <c r="A653" s="127">
        <v>44323</v>
      </c>
      <c r="B653">
        <v>23.059999000000001</v>
      </c>
      <c r="C653">
        <v>11173.570313</v>
      </c>
    </row>
    <row r="654" spans="1:3" x14ac:dyDescent="0.3">
      <c r="A654" s="127">
        <v>44326</v>
      </c>
      <c r="B654">
        <v>22.940000999999999</v>
      </c>
      <c r="C654">
        <v>11123.669921999999</v>
      </c>
    </row>
    <row r="655" spans="1:3" x14ac:dyDescent="0.3">
      <c r="A655" s="127">
        <v>44327</v>
      </c>
      <c r="B655">
        <v>22.940000999999999</v>
      </c>
      <c r="C655">
        <v>11123.669921999999</v>
      </c>
    </row>
    <row r="656" spans="1:3" x14ac:dyDescent="0.3">
      <c r="A656" s="127">
        <v>44328</v>
      </c>
      <c r="B656">
        <v>22.58</v>
      </c>
      <c r="C656">
        <v>11033.900390999999</v>
      </c>
    </row>
    <row r="657" spans="1:3" x14ac:dyDescent="0.3">
      <c r="A657" s="127">
        <v>44330</v>
      </c>
      <c r="B657">
        <v>22.68</v>
      </c>
      <c r="C657">
        <v>11120.769531</v>
      </c>
    </row>
    <row r="658" spans="1:3" x14ac:dyDescent="0.3">
      <c r="A658" s="127">
        <v>44333</v>
      </c>
      <c r="B658">
        <v>22.58</v>
      </c>
      <c r="C658">
        <v>11135.370117</v>
      </c>
    </row>
    <row r="659" spans="1:3" x14ac:dyDescent="0.3">
      <c r="A659" s="127">
        <v>44334</v>
      </c>
      <c r="B659">
        <v>22.879999000000002</v>
      </c>
      <c r="C659">
        <v>11141.75</v>
      </c>
    </row>
    <row r="660" spans="1:3" x14ac:dyDescent="0.3">
      <c r="A660" s="127">
        <v>44335</v>
      </c>
      <c r="B660">
        <v>23.059999000000001</v>
      </c>
      <c r="C660">
        <v>11045.200194999999</v>
      </c>
    </row>
    <row r="661" spans="1:3" x14ac:dyDescent="0.3">
      <c r="A661" s="127">
        <v>44336</v>
      </c>
      <c r="B661">
        <v>23.299999</v>
      </c>
      <c r="C661">
        <v>11152.080078000001</v>
      </c>
    </row>
    <row r="662" spans="1:3" x14ac:dyDescent="0.3">
      <c r="A662" s="127">
        <v>44337</v>
      </c>
      <c r="B662">
        <v>23.26</v>
      </c>
      <c r="C662">
        <v>11225.580078000001</v>
      </c>
    </row>
    <row r="663" spans="1:3" x14ac:dyDescent="0.3">
      <c r="A663" s="127">
        <v>44341</v>
      </c>
      <c r="B663">
        <v>23.719999000000001</v>
      </c>
      <c r="C663">
        <v>11225.580078000001</v>
      </c>
    </row>
    <row r="664" spans="1:3" x14ac:dyDescent="0.3">
      <c r="A664" s="127">
        <v>44342</v>
      </c>
      <c r="B664">
        <v>24</v>
      </c>
      <c r="C664">
        <v>11348.740234000001</v>
      </c>
    </row>
    <row r="665" spans="1:3" x14ac:dyDescent="0.3">
      <c r="A665" s="127">
        <v>44343</v>
      </c>
      <c r="B665">
        <v>23.74</v>
      </c>
      <c r="C665">
        <v>11340.269531</v>
      </c>
    </row>
    <row r="666" spans="1:3" x14ac:dyDescent="0.3">
      <c r="A666" s="127">
        <v>44344</v>
      </c>
      <c r="B666">
        <v>23.84</v>
      </c>
      <c r="C666">
        <v>11426.150390999999</v>
      </c>
    </row>
    <row r="667" spans="1:3" x14ac:dyDescent="0.3">
      <c r="A667" s="127">
        <v>44347</v>
      </c>
      <c r="B667">
        <v>23.92</v>
      </c>
      <c r="C667">
        <v>11426.150390999999</v>
      </c>
    </row>
    <row r="668" spans="1:3" x14ac:dyDescent="0.3">
      <c r="A668" s="127">
        <v>44348</v>
      </c>
      <c r="B668">
        <v>23.9</v>
      </c>
      <c r="C668">
        <v>11434.879883</v>
      </c>
    </row>
    <row r="669" spans="1:3" x14ac:dyDescent="0.3">
      <c r="A669" s="127">
        <v>44349</v>
      </c>
      <c r="B669">
        <v>24.16</v>
      </c>
      <c r="C669">
        <v>11470.349609000001</v>
      </c>
    </row>
    <row r="670" spans="1:3" x14ac:dyDescent="0.3">
      <c r="A670" s="127">
        <v>44350</v>
      </c>
      <c r="B670">
        <v>24.139999</v>
      </c>
      <c r="C670">
        <v>11510.599609000001</v>
      </c>
    </row>
    <row r="671" spans="1:3" x14ac:dyDescent="0.3">
      <c r="A671" s="127">
        <v>44351</v>
      </c>
      <c r="B671">
        <v>24.42</v>
      </c>
      <c r="C671">
        <v>11570.679688</v>
      </c>
    </row>
    <row r="672" spans="1:3" x14ac:dyDescent="0.3">
      <c r="A672" s="127">
        <v>44354</v>
      </c>
      <c r="B672">
        <v>24.360001</v>
      </c>
      <c r="C672">
        <v>11630.660156</v>
      </c>
    </row>
    <row r="673" spans="1:3" x14ac:dyDescent="0.3">
      <c r="A673" s="127">
        <v>44355</v>
      </c>
      <c r="B673">
        <v>24.379999000000002</v>
      </c>
      <c r="C673">
        <v>11656.889648</v>
      </c>
    </row>
    <row r="674" spans="1:3" x14ac:dyDescent="0.3">
      <c r="A674" s="127">
        <v>44356</v>
      </c>
      <c r="B674">
        <v>24.120000999999998</v>
      </c>
      <c r="C674">
        <v>11788.099609000001</v>
      </c>
    </row>
    <row r="675" spans="1:3" x14ac:dyDescent="0.3">
      <c r="A675" s="127">
        <v>44357</v>
      </c>
      <c r="B675">
        <v>24.059999000000001</v>
      </c>
      <c r="C675">
        <v>11788.099609000001</v>
      </c>
    </row>
    <row r="676" spans="1:3" x14ac:dyDescent="0.3">
      <c r="A676" s="127">
        <v>44358</v>
      </c>
      <c r="B676">
        <v>24.559999000000001</v>
      </c>
      <c r="C676">
        <v>11841.299805000001</v>
      </c>
    </row>
    <row r="677" spans="1:3" x14ac:dyDescent="0.3">
      <c r="A677" s="127">
        <v>44361</v>
      </c>
      <c r="B677">
        <v>24.84</v>
      </c>
      <c r="C677">
        <v>11866.410156</v>
      </c>
    </row>
    <row r="678" spans="1:3" x14ac:dyDescent="0.3">
      <c r="A678" s="127">
        <v>44362</v>
      </c>
      <c r="B678">
        <v>25.040001</v>
      </c>
      <c r="C678">
        <v>11921.969727</v>
      </c>
    </row>
    <row r="679" spans="1:3" x14ac:dyDescent="0.3">
      <c r="A679" s="127">
        <v>44363</v>
      </c>
      <c r="B679">
        <v>25.219999000000001</v>
      </c>
      <c r="C679">
        <v>11982.030273</v>
      </c>
    </row>
    <row r="680" spans="1:3" x14ac:dyDescent="0.3">
      <c r="A680" s="127">
        <v>44364</v>
      </c>
      <c r="B680">
        <v>24.799999</v>
      </c>
      <c r="C680">
        <v>12011.110352</v>
      </c>
    </row>
    <row r="681" spans="1:3" x14ac:dyDescent="0.3">
      <c r="A681" s="127">
        <v>44365</v>
      </c>
      <c r="B681">
        <v>24.84</v>
      </c>
      <c r="C681">
        <v>11941.25</v>
      </c>
    </row>
    <row r="682" spans="1:3" x14ac:dyDescent="0.3">
      <c r="A682" s="127">
        <v>44368</v>
      </c>
      <c r="B682">
        <v>25.280000999999999</v>
      </c>
      <c r="C682">
        <v>11995.629883</v>
      </c>
    </row>
    <row r="683" spans="1:3" x14ac:dyDescent="0.3">
      <c r="A683" s="127">
        <v>44369</v>
      </c>
      <c r="B683">
        <v>25.34</v>
      </c>
      <c r="C683">
        <v>11982.480469</v>
      </c>
    </row>
    <row r="684" spans="1:3" x14ac:dyDescent="0.3">
      <c r="A684" s="127">
        <v>44370</v>
      </c>
      <c r="B684">
        <v>25.18</v>
      </c>
      <c r="C684">
        <v>11898.620117</v>
      </c>
    </row>
    <row r="685" spans="1:3" x14ac:dyDescent="0.3">
      <c r="A685" s="127">
        <v>44371</v>
      </c>
      <c r="B685">
        <v>25.200001</v>
      </c>
      <c r="C685">
        <v>11993.639648</v>
      </c>
    </row>
    <row r="686" spans="1:3" x14ac:dyDescent="0.3">
      <c r="A686" s="127">
        <v>44372</v>
      </c>
      <c r="B686">
        <v>25.02</v>
      </c>
      <c r="C686">
        <v>11999.700194999999</v>
      </c>
    </row>
    <row r="687" spans="1:3" x14ac:dyDescent="0.3">
      <c r="A687" s="127">
        <v>44375</v>
      </c>
      <c r="B687">
        <v>25.16</v>
      </c>
      <c r="C687">
        <v>12009.169921999999</v>
      </c>
    </row>
    <row r="688" spans="1:3" x14ac:dyDescent="0.3">
      <c r="A688" s="127">
        <v>44376</v>
      </c>
      <c r="B688">
        <v>25.34</v>
      </c>
      <c r="C688">
        <v>12028.450194999999</v>
      </c>
    </row>
    <row r="689" spans="1:3" x14ac:dyDescent="0.3">
      <c r="A689" s="127">
        <v>44377</v>
      </c>
      <c r="B689">
        <v>25.139999</v>
      </c>
      <c r="C689">
        <v>11942.719727</v>
      </c>
    </row>
    <row r="690" spans="1:3" x14ac:dyDescent="0.3">
      <c r="A690" s="127">
        <v>44378</v>
      </c>
      <c r="B690">
        <v>25.1</v>
      </c>
      <c r="C690">
        <v>11977.030273</v>
      </c>
    </row>
    <row r="691" spans="1:3" x14ac:dyDescent="0.3">
      <c r="A691" s="127">
        <v>44379</v>
      </c>
      <c r="B691">
        <v>25</v>
      </c>
      <c r="C691">
        <v>11964.839844</v>
      </c>
    </row>
    <row r="692" spans="1:3" x14ac:dyDescent="0.3">
      <c r="A692" s="127">
        <v>44382</v>
      </c>
      <c r="B692">
        <v>24.719999000000001</v>
      </c>
      <c r="C692">
        <v>11964.839844</v>
      </c>
    </row>
    <row r="693" spans="1:3" x14ac:dyDescent="0.3">
      <c r="A693" s="127">
        <v>44383</v>
      </c>
      <c r="B693">
        <v>24.620000999999998</v>
      </c>
      <c r="C693">
        <v>11965.219727</v>
      </c>
    </row>
    <row r="694" spans="1:3" x14ac:dyDescent="0.3">
      <c r="A694" s="127">
        <v>44384</v>
      </c>
      <c r="B694">
        <v>25.02</v>
      </c>
      <c r="C694">
        <v>12085.509765999999</v>
      </c>
    </row>
    <row r="695" spans="1:3" x14ac:dyDescent="0.3">
      <c r="A695" s="127">
        <v>44385</v>
      </c>
      <c r="B695">
        <v>24.620000999999998</v>
      </c>
      <c r="C695">
        <v>11924.660156</v>
      </c>
    </row>
    <row r="696" spans="1:3" x14ac:dyDescent="0.3">
      <c r="A696" s="127">
        <v>44386</v>
      </c>
      <c r="B696">
        <v>24.76</v>
      </c>
      <c r="C696">
        <v>11989.809569999999</v>
      </c>
    </row>
    <row r="697" spans="1:3" x14ac:dyDescent="0.3">
      <c r="A697" s="127">
        <v>44389</v>
      </c>
      <c r="B697">
        <v>25.32</v>
      </c>
      <c r="C697">
        <v>12081.620117</v>
      </c>
    </row>
    <row r="698" spans="1:3" x14ac:dyDescent="0.3">
      <c r="A698" s="127">
        <v>44390</v>
      </c>
      <c r="B698">
        <v>25.540001</v>
      </c>
      <c r="C698">
        <v>12071.049805000001</v>
      </c>
    </row>
    <row r="699" spans="1:3" x14ac:dyDescent="0.3">
      <c r="A699" s="127">
        <v>44391</v>
      </c>
      <c r="B699">
        <v>25.459999</v>
      </c>
      <c r="C699">
        <v>12043.349609000001</v>
      </c>
    </row>
    <row r="700" spans="1:3" x14ac:dyDescent="0.3">
      <c r="A700" s="127">
        <v>44392</v>
      </c>
      <c r="B700">
        <v>25.299999</v>
      </c>
      <c r="C700">
        <v>11976.790039</v>
      </c>
    </row>
    <row r="701" spans="1:3" x14ac:dyDescent="0.3">
      <c r="A701" s="127">
        <v>44393</v>
      </c>
      <c r="B701">
        <v>25.18</v>
      </c>
      <c r="C701">
        <v>12026.5</v>
      </c>
    </row>
    <row r="702" spans="1:3" x14ac:dyDescent="0.3">
      <c r="A702" s="127">
        <v>44396</v>
      </c>
      <c r="B702">
        <v>25.120000999999998</v>
      </c>
      <c r="C702">
        <v>11862.080078000001</v>
      </c>
    </row>
    <row r="703" spans="1:3" x14ac:dyDescent="0.3">
      <c r="A703" s="127">
        <v>44397</v>
      </c>
      <c r="B703">
        <v>25.1</v>
      </c>
      <c r="C703">
        <v>11945.679688</v>
      </c>
    </row>
    <row r="704" spans="1:3" x14ac:dyDescent="0.3">
      <c r="A704" s="127">
        <v>44398</v>
      </c>
      <c r="B704">
        <v>24.700001</v>
      </c>
      <c r="C704">
        <v>12021.580078000001</v>
      </c>
    </row>
    <row r="705" spans="1:3" x14ac:dyDescent="0.3">
      <c r="A705" s="127">
        <v>44399</v>
      </c>
      <c r="B705">
        <v>25.200001</v>
      </c>
      <c r="C705">
        <v>11977</v>
      </c>
    </row>
    <row r="706" spans="1:3" x14ac:dyDescent="0.3">
      <c r="A706" s="127">
        <v>44400</v>
      </c>
      <c r="B706">
        <v>25.42</v>
      </c>
      <c r="C706">
        <v>12130.830078000001</v>
      </c>
    </row>
    <row r="707" spans="1:3" x14ac:dyDescent="0.3">
      <c r="A707" s="127">
        <v>44403</v>
      </c>
      <c r="B707">
        <v>25.139999</v>
      </c>
      <c r="C707">
        <v>12049.629883</v>
      </c>
    </row>
    <row r="708" spans="1:3" x14ac:dyDescent="0.3">
      <c r="A708" s="127">
        <v>44404</v>
      </c>
      <c r="B708">
        <v>25.34</v>
      </c>
      <c r="C708">
        <v>12021.089844</v>
      </c>
    </row>
    <row r="709" spans="1:3" x14ac:dyDescent="0.3">
      <c r="A709" s="127">
        <v>44405</v>
      </c>
      <c r="B709">
        <v>26.1</v>
      </c>
      <c r="C709">
        <v>12073.230469</v>
      </c>
    </row>
    <row r="710" spans="1:3" x14ac:dyDescent="0.3">
      <c r="A710" s="127">
        <v>44406</v>
      </c>
      <c r="B710">
        <v>26.52</v>
      </c>
      <c r="C710">
        <v>12086.740234000001</v>
      </c>
    </row>
    <row r="711" spans="1:3" x14ac:dyDescent="0.3">
      <c r="A711" s="127">
        <v>44407</v>
      </c>
      <c r="B711">
        <v>26.74</v>
      </c>
      <c r="C711">
        <v>12116.820313</v>
      </c>
    </row>
    <row r="712" spans="1:3" x14ac:dyDescent="0.3">
      <c r="A712" s="127">
        <v>44410</v>
      </c>
      <c r="B712">
        <v>27.200001</v>
      </c>
      <c r="C712">
        <v>12171.019531</v>
      </c>
    </row>
    <row r="713" spans="1:3" x14ac:dyDescent="0.3">
      <c r="A713" s="127">
        <v>44411</v>
      </c>
      <c r="B713">
        <v>27.200001</v>
      </c>
      <c r="C713">
        <v>12163.219727</v>
      </c>
    </row>
    <row r="714" spans="1:3" x14ac:dyDescent="0.3">
      <c r="A714" s="127">
        <v>44412</v>
      </c>
      <c r="B714">
        <v>27.52</v>
      </c>
      <c r="C714">
        <v>12178.740234000001</v>
      </c>
    </row>
    <row r="715" spans="1:3" x14ac:dyDescent="0.3">
      <c r="A715" s="127">
        <v>44413</v>
      </c>
      <c r="B715">
        <v>27.32</v>
      </c>
      <c r="C715">
        <v>12199.820313</v>
      </c>
    </row>
    <row r="716" spans="1:3" x14ac:dyDescent="0.3">
      <c r="A716" s="127">
        <v>44414</v>
      </c>
      <c r="B716">
        <v>26.74</v>
      </c>
      <c r="C716">
        <v>12176.299805000001</v>
      </c>
    </row>
    <row r="717" spans="1:3" x14ac:dyDescent="0.3">
      <c r="A717" s="127">
        <v>44417</v>
      </c>
      <c r="B717">
        <v>26.98</v>
      </c>
      <c r="C717">
        <v>12310.75</v>
      </c>
    </row>
    <row r="718" spans="1:3" x14ac:dyDescent="0.3">
      <c r="A718" s="127">
        <v>44418</v>
      </c>
      <c r="B718">
        <v>27.5</v>
      </c>
      <c r="C718">
        <v>12361.690430000001</v>
      </c>
    </row>
    <row r="719" spans="1:3" x14ac:dyDescent="0.3">
      <c r="A719" s="127">
        <v>44419</v>
      </c>
      <c r="B719">
        <v>27.280000999999999</v>
      </c>
      <c r="C719">
        <v>12387.900390999999</v>
      </c>
    </row>
    <row r="720" spans="1:3" x14ac:dyDescent="0.3">
      <c r="A720" s="127">
        <v>44420</v>
      </c>
      <c r="B720">
        <v>26.74</v>
      </c>
      <c r="C720">
        <v>12429.169921999999</v>
      </c>
    </row>
    <row r="721" spans="1:3" x14ac:dyDescent="0.3">
      <c r="A721" s="127">
        <v>44421</v>
      </c>
      <c r="B721">
        <v>26.700001</v>
      </c>
      <c r="C721">
        <v>12464.440430000001</v>
      </c>
    </row>
    <row r="722" spans="1:3" x14ac:dyDescent="0.3">
      <c r="A722" s="127">
        <v>44424</v>
      </c>
      <c r="B722">
        <v>26.6</v>
      </c>
      <c r="C722">
        <v>12419.139648</v>
      </c>
    </row>
    <row r="723" spans="1:3" x14ac:dyDescent="0.3">
      <c r="A723" s="127">
        <v>44425</v>
      </c>
      <c r="B723">
        <v>26.860001</v>
      </c>
      <c r="C723">
        <v>12477.440430000001</v>
      </c>
    </row>
    <row r="724" spans="1:3" x14ac:dyDescent="0.3">
      <c r="A724" s="127">
        <v>44426</v>
      </c>
      <c r="B724">
        <v>26.9</v>
      </c>
      <c r="C724">
        <v>12545.349609000001</v>
      </c>
    </row>
    <row r="725" spans="1:3" x14ac:dyDescent="0.3">
      <c r="A725" s="127">
        <v>44427</v>
      </c>
      <c r="B725">
        <v>26.68</v>
      </c>
      <c r="C725">
        <v>12403.580078000001</v>
      </c>
    </row>
    <row r="726" spans="1:3" x14ac:dyDescent="0.3">
      <c r="A726" s="127">
        <v>44428</v>
      </c>
      <c r="B726">
        <v>27.08</v>
      </c>
      <c r="C726">
        <v>12415.660156</v>
      </c>
    </row>
    <row r="727" spans="1:3" x14ac:dyDescent="0.3">
      <c r="A727" s="127">
        <v>44431</v>
      </c>
      <c r="B727">
        <v>27.540001</v>
      </c>
      <c r="C727">
        <v>12476.870117</v>
      </c>
    </row>
    <row r="728" spans="1:3" x14ac:dyDescent="0.3">
      <c r="A728" s="127">
        <v>44432</v>
      </c>
      <c r="B728">
        <v>27.559999000000001</v>
      </c>
      <c r="C728">
        <v>12436.660156</v>
      </c>
    </row>
    <row r="729" spans="1:3" x14ac:dyDescent="0.3">
      <c r="A729" s="127">
        <v>44433</v>
      </c>
      <c r="B729">
        <v>27.719999000000001</v>
      </c>
      <c r="C729">
        <v>12364.570313</v>
      </c>
    </row>
    <row r="730" spans="1:3" x14ac:dyDescent="0.3">
      <c r="A730" s="127">
        <v>44434</v>
      </c>
      <c r="B730">
        <v>27.860001</v>
      </c>
      <c r="C730">
        <v>12409.030273</v>
      </c>
    </row>
    <row r="731" spans="1:3" x14ac:dyDescent="0.3">
      <c r="A731" s="127">
        <v>44435</v>
      </c>
      <c r="B731">
        <v>28.120000999999998</v>
      </c>
      <c r="C731">
        <v>12439</v>
      </c>
    </row>
    <row r="732" spans="1:3" x14ac:dyDescent="0.3">
      <c r="A732" s="127">
        <v>44438</v>
      </c>
      <c r="B732">
        <v>28</v>
      </c>
      <c r="C732">
        <v>12436.580078000001</v>
      </c>
    </row>
    <row r="733" spans="1:3" x14ac:dyDescent="0.3">
      <c r="A733" s="127">
        <v>44439</v>
      </c>
      <c r="B733">
        <v>28.040001</v>
      </c>
      <c r="C733">
        <v>12411.110352</v>
      </c>
    </row>
    <row r="734" spans="1:3" x14ac:dyDescent="0.3">
      <c r="A734" s="127">
        <v>44440</v>
      </c>
      <c r="B734">
        <v>27.780000999999999</v>
      </c>
      <c r="C734">
        <v>12432.790039</v>
      </c>
    </row>
    <row r="735" spans="1:3" x14ac:dyDescent="0.3">
      <c r="A735" s="127">
        <v>44441</v>
      </c>
      <c r="B735">
        <v>27.82</v>
      </c>
      <c r="C735">
        <v>12432.459961</v>
      </c>
    </row>
    <row r="736" spans="1:3" x14ac:dyDescent="0.3">
      <c r="A736" s="127">
        <v>44442</v>
      </c>
      <c r="B736">
        <v>27.84</v>
      </c>
      <c r="C736">
        <v>12351.839844</v>
      </c>
    </row>
    <row r="737" spans="1:3" x14ac:dyDescent="0.3">
      <c r="A737" s="127">
        <v>44445</v>
      </c>
      <c r="B737">
        <v>28.1</v>
      </c>
      <c r="C737">
        <v>12430.230469</v>
      </c>
    </row>
    <row r="738" spans="1:3" x14ac:dyDescent="0.3">
      <c r="A738" s="127">
        <v>44446</v>
      </c>
      <c r="B738">
        <v>28.32</v>
      </c>
      <c r="C738">
        <v>12344.379883</v>
      </c>
    </row>
    <row r="739" spans="1:3" x14ac:dyDescent="0.3">
      <c r="A739" s="127">
        <v>44447</v>
      </c>
      <c r="B739">
        <v>27.5</v>
      </c>
      <c r="C739">
        <v>12215.139648</v>
      </c>
    </row>
    <row r="740" spans="1:3" x14ac:dyDescent="0.3">
      <c r="A740" s="127">
        <v>44448</v>
      </c>
      <c r="B740">
        <v>27.58</v>
      </c>
      <c r="C740">
        <v>12116.429688</v>
      </c>
    </row>
    <row r="741" spans="1:3" x14ac:dyDescent="0.3">
      <c r="A741" s="127">
        <v>44449</v>
      </c>
      <c r="B741">
        <v>27.82</v>
      </c>
      <c r="C741">
        <v>12060.639648</v>
      </c>
    </row>
    <row r="742" spans="1:3" x14ac:dyDescent="0.3">
      <c r="A742" s="127">
        <v>44452</v>
      </c>
      <c r="B742">
        <v>28.1</v>
      </c>
      <c r="C742">
        <v>12074.809569999999</v>
      </c>
    </row>
    <row r="743" spans="1:3" x14ac:dyDescent="0.3">
      <c r="A743" s="127">
        <v>44453</v>
      </c>
      <c r="B743">
        <v>28.219999000000001</v>
      </c>
      <c r="C743">
        <v>12097.280273</v>
      </c>
    </row>
    <row r="744" spans="1:3" x14ac:dyDescent="0.3">
      <c r="A744" s="127">
        <v>44454</v>
      </c>
      <c r="B744">
        <v>27.98</v>
      </c>
      <c r="C744">
        <v>11984.830078000001</v>
      </c>
    </row>
    <row r="745" spans="1:3" x14ac:dyDescent="0.3">
      <c r="A745" s="127">
        <v>44455</v>
      </c>
      <c r="B745">
        <v>27.52</v>
      </c>
      <c r="C745">
        <v>12028.440430000001</v>
      </c>
    </row>
    <row r="746" spans="1:3" x14ac:dyDescent="0.3">
      <c r="A746" s="127">
        <v>44456</v>
      </c>
      <c r="B746">
        <v>27.459999</v>
      </c>
      <c r="C746">
        <v>11935.530273</v>
      </c>
    </row>
    <row r="747" spans="1:3" x14ac:dyDescent="0.3">
      <c r="A747" s="127">
        <v>44459</v>
      </c>
      <c r="B747">
        <v>26.860001</v>
      </c>
      <c r="C747">
        <v>11766.419921999999</v>
      </c>
    </row>
    <row r="748" spans="1:3" x14ac:dyDescent="0.3">
      <c r="A748" s="127">
        <v>44460</v>
      </c>
      <c r="B748">
        <v>27.1</v>
      </c>
      <c r="C748">
        <v>11789.169921999999</v>
      </c>
    </row>
    <row r="749" spans="1:3" x14ac:dyDescent="0.3">
      <c r="A749" s="127">
        <v>44461</v>
      </c>
      <c r="B749">
        <v>27.120000999999998</v>
      </c>
      <c r="C749">
        <v>11837.570313</v>
      </c>
    </row>
    <row r="750" spans="1:3" x14ac:dyDescent="0.3">
      <c r="A750" s="127">
        <v>44462</v>
      </c>
      <c r="B750">
        <v>27.059999000000001</v>
      </c>
      <c r="C750">
        <v>11938.620117</v>
      </c>
    </row>
    <row r="751" spans="1:3" x14ac:dyDescent="0.3">
      <c r="A751" s="127">
        <v>44463</v>
      </c>
      <c r="B751">
        <v>26.860001</v>
      </c>
      <c r="C751">
        <v>11817.200194999999</v>
      </c>
    </row>
    <row r="752" spans="1:3" x14ac:dyDescent="0.3">
      <c r="A752" s="127">
        <v>44466</v>
      </c>
      <c r="B752">
        <v>25.68</v>
      </c>
      <c r="C752">
        <v>11691.179688</v>
      </c>
    </row>
    <row r="753" spans="1:3" x14ac:dyDescent="0.3">
      <c r="A753" s="127">
        <v>44467</v>
      </c>
      <c r="B753">
        <v>25.219999000000001</v>
      </c>
      <c r="C753">
        <v>11485.580078000001</v>
      </c>
    </row>
    <row r="754" spans="1:3" x14ac:dyDescent="0.3">
      <c r="A754" s="127">
        <v>44468</v>
      </c>
      <c r="B754">
        <v>24.82</v>
      </c>
      <c r="C754">
        <v>11628.330078000001</v>
      </c>
    </row>
    <row r="755" spans="1:3" x14ac:dyDescent="0.3">
      <c r="A755" s="127">
        <v>44469</v>
      </c>
      <c r="B755">
        <v>24.92</v>
      </c>
      <c r="C755">
        <v>11642.450194999999</v>
      </c>
    </row>
    <row r="756" spans="1:3" x14ac:dyDescent="0.3">
      <c r="A756" s="127">
        <v>44470</v>
      </c>
      <c r="B756">
        <v>24.9</v>
      </c>
      <c r="C756">
        <v>11575.370117</v>
      </c>
    </row>
    <row r="757" spans="1:3" x14ac:dyDescent="0.3">
      <c r="A757" s="127">
        <v>44473</v>
      </c>
      <c r="B757">
        <v>24.639999</v>
      </c>
      <c r="C757">
        <v>11582.349609000001</v>
      </c>
    </row>
    <row r="758" spans="1:3" x14ac:dyDescent="0.3">
      <c r="A758" s="127">
        <v>44474</v>
      </c>
      <c r="B758">
        <v>24.92</v>
      </c>
      <c r="C758">
        <v>11587</v>
      </c>
    </row>
    <row r="759" spans="1:3" x14ac:dyDescent="0.3">
      <c r="A759" s="127">
        <v>44475</v>
      </c>
      <c r="B759">
        <v>24.719999000000001</v>
      </c>
      <c r="C759">
        <v>11569.389648</v>
      </c>
    </row>
    <row r="760" spans="1:3" x14ac:dyDescent="0.3">
      <c r="A760" s="127">
        <v>44476</v>
      </c>
      <c r="B760">
        <v>24.700001</v>
      </c>
      <c r="C760">
        <v>11763.639648</v>
      </c>
    </row>
    <row r="761" spans="1:3" x14ac:dyDescent="0.3">
      <c r="A761" s="127">
        <v>44477</v>
      </c>
      <c r="B761">
        <v>24.26</v>
      </c>
      <c r="C761">
        <v>11764.990234000001</v>
      </c>
    </row>
    <row r="762" spans="1:3" x14ac:dyDescent="0.3">
      <c r="A762" s="127">
        <v>44480</v>
      </c>
      <c r="B762">
        <v>24</v>
      </c>
      <c r="C762">
        <v>11771.570313</v>
      </c>
    </row>
    <row r="763" spans="1:3" x14ac:dyDescent="0.3">
      <c r="A763" s="127">
        <v>44481</v>
      </c>
      <c r="B763">
        <v>24.34</v>
      </c>
      <c r="C763">
        <v>11756.759765999999</v>
      </c>
    </row>
    <row r="764" spans="1:3" x14ac:dyDescent="0.3">
      <c r="A764" s="127">
        <v>44482</v>
      </c>
      <c r="B764">
        <v>25.059999000000001</v>
      </c>
      <c r="C764">
        <v>11814.589844</v>
      </c>
    </row>
    <row r="765" spans="1:3" x14ac:dyDescent="0.3">
      <c r="A765" s="127">
        <v>44483</v>
      </c>
      <c r="B765">
        <v>25.200001</v>
      </c>
      <c r="C765">
        <v>11892.519531</v>
      </c>
    </row>
    <row r="766" spans="1:3" x14ac:dyDescent="0.3">
      <c r="A766" s="127">
        <v>44484</v>
      </c>
      <c r="B766">
        <v>25.059999000000001</v>
      </c>
      <c r="C766">
        <v>11961.339844</v>
      </c>
    </row>
    <row r="767" spans="1:3" x14ac:dyDescent="0.3">
      <c r="A767" s="127">
        <v>44487</v>
      </c>
      <c r="B767">
        <v>24.84</v>
      </c>
      <c r="C767">
        <v>11968.080078000001</v>
      </c>
    </row>
    <row r="768" spans="1:3" x14ac:dyDescent="0.3">
      <c r="A768" s="127">
        <v>44488</v>
      </c>
      <c r="B768">
        <v>24.219999000000001</v>
      </c>
      <c r="C768">
        <v>11942.740234000001</v>
      </c>
    </row>
    <row r="769" spans="1:3" x14ac:dyDescent="0.3">
      <c r="A769" s="127">
        <v>44489</v>
      </c>
      <c r="B769">
        <v>24.620000999999998</v>
      </c>
      <c r="C769">
        <v>12013.150390999999</v>
      </c>
    </row>
    <row r="770" spans="1:3" x14ac:dyDescent="0.3">
      <c r="A770" s="127">
        <v>44490</v>
      </c>
      <c r="B770">
        <v>24.280000999999999</v>
      </c>
      <c r="C770">
        <v>12039.139648</v>
      </c>
    </row>
    <row r="771" spans="1:3" x14ac:dyDescent="0.3">
      <c r="A771" s="127">
        <v>44491</v>
      </c>
      <c r="B771">
        <v>24.16</v>
      </c>
      <c r="C771">
        <v>12056.209961</v>
      </c>
    </row>
    <row r="772" spans="1:3" x14ac:dyDescent="0.3">
      <c r="A772" s="127">
        <v>44494</v>
      </c>
      <c r="B772">
        <v>24.059999000000001</v>
      </c>
      <c r="C772">
        <v>12063.169921999999</v>
      </c>
    </row>
    <row r="773" spans="1:3" x14ac:dyDescent="0.3">
      <c r="A773" s="127">
        <v>44495</v>
      </c>
      <c r="B773">
        <v>22.940000999999999</v>
      </c>
      <c r="C773">
        <v>12146.519531</v>
      </c>
    </row>
    <row r="774" spans="1:3" x14ac:dyDescent="0.3">
      <c r="A774" s="127">
        <v>44496</v>
      </c>
      <c r="B774">
        <v>23.16</v>
      </c>
      <c r="C774">
        <v>12087.450194999999</v>
      </c>
    </row>
    <row r="775" spans="1:3" x14ac:dyDescent="0.3">
      <c r="A775" s="127">
        <v>44497</v>
      </c>
      <c r="B775">
        <v>24.120000999999998</v>
      </c>
      <c r="C775">
        <v>12153.099609000001</v>
      </c>
    </row>
    <row r="776" spans="1:3" x14ac:dyDescent="0.3">
      <c r="A776" s="127">
        <v>44498</v>
      </c>
      <c r="B776">
        <v>23.92</v>
      </c>
      <c r="C776">
        <v>12108.169921999999</v>
      </c>
    </row>
    <row r="777" spans="1:3" x14ac:dyDescent="0.3">
      <c r="A777" s="127">
        <v>44501</v>
      </c>
      <c r="B777">
        <v>23.879999000000002</v>
      </c>
      <c r="C777">
        <v>12216.330078000001</v>
      </c>
    </row>
    <row r="778" spans="1:3" x14ac:dyDescent="0.3">
      <c r="A778" s="127">
        <v>44502</v>
      </c>
      <c r="B778">
        <v>24.379999000000002</v>
      </c>
      <c r="C778">
        <v>12321</v>
      </c>
    </row>
    <row r="779" spans="1:3" x14ac:dyDescent="0.3">
      <c r="A779" s="127">
        <v>44503</v>
      </c>
      <c r="B779">
        <v>24.940000999999999</v>
      </c>
      <c r="C779">
        <v>12383.269531</v>
      </c>
    </row>
    <row r="780" spans="1:3" x14ac:dyDescent="0.3">
      <c r="A780" s="127">
        <v>44504</v>
      </c>
      <c r="B780">
        <v>25.16</v>
      </c>
      <c r="C780">
        <v>12403.049805000001</v>
      </c>
    </row>
    <row r="781" spans="1:3" x14ac:dyDescent="0.3">
      <c r="A781" s="127">
        <v>44505</v>
      </c>
      <c r="B781">
        <v>25.1</v>
      </c>
      <c r="C781">
        <v>12321.849609000001</v>
      </c>
    </row>
    <row r="782" spans="1:3" x14ac:dyDescent="0.3">
      <c r="A782" s="127">
        <v>44508</v>
      </c>
      <c r="B782">
        <v>25.26</v>
      </c>
      <c r="C782">
        <v>12353.349609000001</v>
      </c>
    </row>
    <row r="783" spans="1:3" x14ac:dyDescent="0.3">
      <c r="A783" s="127">
        <v>44509</v>
      </c>
      <c r="B783">
        <v>25.940000999999999</v>
      </c>
      <c r="C783">
        <v>12367.519531</v>
      </c>
    </row>
    <row r="784" spans="1:3" x14ac:dyDescent="0.3">
      <c r="A784" s="127">
        <v>44510</v>
      </c>
      <c r="B784">
        <v>25.34</v>
      </c>
      <c r="C784">
        <v>12401.400390999999</v>
      </c>
    </row>
    <row r="785" spans="1:11" x14ac:dyDescent="0.3">
      <c r="A785" s="127">
        <v>44511</v>
      </c>
      <c r="B785">
        <v>25.34</v>
      </c>
      <c r="C785">
        <v>12421.080078000001</v>
      </c>
    </row>
    <row r="786" spans="1:11" x14ac:dyDescent="0.3">
      <c r="A786" s="127">
        <v>44512</v>
      </c>
      <c r="B786">
        <v>25.68</v>
      </c>
      <c r="C786">
        <v>12516.049805000001</v>
      </c>
    </row>
    <row r="787" spans="1:11" x14ac:dyDescent="0.3">
      <c r="A787" s="127">
        <v>44515</v>
      </c>
      <c r="B787">
        <v>25.719999000000001</v>
      </c>
      <c r="C787">
        <v>12517.120117</v>
      </c>
    </row>
    <row r="788" spans="1:11" x14ac:dyDescent="0.3">
      <c r="A788" s="127">
        <v>44516</v>
      </c>
      <c r="B788">
        <v>25.559999000000001</v>
      </c>
      <c r="C788">
        <v>12557.339844</v>
      </c>
    </row>
    <row r="789" spans="1:11" ht="15" thickBot="1" x14ac:dyDescent="0.35">
      <c r="A789" s="127">
        <v>44517</v>
      </c>
      <c r="B789">
        <v>25.58</v>
      </c>
      <c r="C789">
        <v>12600.150390999999</v>
      </c>
    </row>
    <row r="790" spans="1:11" x14ac:dyDescent="0.3">
      <c r="A790" s="127">
        <v>44518</v>
      </c>
      <c r="B790">
        <v>25.700001</v>
      </c>
      <c r="C790">
        <v>12553.190430000001</v>
      </c>
      <c r="I790" s="128"/>
      <c r="J790" s="128" t="s">
        <v>289</v>
      </c>
      <c r="K790" s="128" t="s">
        <v>290</v>
      </c>
    </row>
    <row r="791" spans="1:11" x14ac:dyDescent="0.3">
      <c r="A791" s="127">
        <v>44519</v>
      </c>
      <c r="B791">
        <v>25.66</v>
      </c>
      <c r="C791">
        <v>12545.009765999999</v>
      </c>
      <c r="I791" t="s">
        <v>289</v>
      </c>
      <c r="J791">
        <v>1</v>
      </c>
    </row>
    <row r="792" spans="1:11" ht="15" thickBot="1" x14ac:dyDescent="0.35">
      <c r="A792" s="127">
        <v>44522</v>
      </c>
      <c r="B792">
        <v>25.860001</v>
      </c>
      <c r="C792">
        <v>12510.809569999999</v>
      </c>
      <c r="I792" s="8" t="s">
        <v>290</v>
      </c>
      <c r="J792" s="8">
        <v>0.90608336872303097</v>
      </c>
      <c r="K792" s="8">
        <v>1</v>
      </c>
    </row>
    <row r="793" spans="1:11" x14ac:dyDescent="0.3">
      <c r="A793" s="127">
        <v>44523</v>
      </c>
      <c r="B793">
        <v>24.6</v>
      </c>
      <c r="C793">
        <v>12366.730469</v>
      </c>
    </row>
    <row r="794" spans="1:11" x14ac:dyDescent="0.3">
      <c r="A794" s="127">
        <v>44524</v>
      </c>
      <c r="B794">
        <v>24.08</v>
      </c>
      <c r="C794">
        <v>12395.719727</v>
      </c>
    </row>
    <row r="795" spans="1:11" ht="15" thickBot="1" x14ac:dyDescent="0.35">
      <c r="A795" s="127">
        <v>44525</v>
      </c>
      <c r="B795">
        <v>24.42</v>
      </c>
      <c r="C795">
        <v>12449.679688</v>
      </c>
    </row>
    <row r="796" spans="1:11" x14ac:dyDescent="0.3">
      <c r="A796" s="127">
        <v>44526</v>
      </c>
      <c r="B796">
        <v>24.68</v>
      </c>
      <c r="C796">
        <v>12199.209961</v>
      </c>
      <c r="I796" s="128"/>
      <c r="J796" s="128" t="s">
        <v>289</v>
      </c>
      <c r="K796" s="128" t="s">
        <v>290</v>
      </c>
    </row>
    <row r="797" spans="1:11" x14ac:dyDescent="0.3">
      <c r="A797" s="127">
        <v>44529</v>
      </c>
      <c r="B797">
        <v>24.700001</v>
      </c>
      <c r="C797">
        <v>12220.740234000001</v>
      </c>
      <c r="I797" t="s">
        <v>289</v>
      </c>
      <c r="J797">
        <v>1</v>
      </c>
    </row>
    <row r="798" spans="1:11" ht="15" thickBot="1" x14ac:dyDescent="0.35">
      <c r="A798" s="127">
        <v>44530</v>
      </c>
      <c r="B798">
        <v>24.24</v>
      </c>
      <c r="C798">
        <v>12159.690430000001</v>
      </c>
      <c r="I798" s="8" t="s">
        <v>290</v>
      </c>
      <c r="J798" s="8">
        <v>0.94733085014140106</v>
      </c>
      <c r="K798" s="8">
        <v>1</v>
      </c>
    </row>
    <row r="799" spans="1:11" x14ac:dyDescent="0.3">
      <c r="A799" s="127">
        <v>44531</v>
      </c>
      <c r="B799">
        <v>24.92</v>
      </c>
      <c r="C799">
        <v>12266.459961</v>
      </c>
    </row>
    <row r="800" spans="1:11" x14ac:dyDescent="0.3">
      <c r="A800" s="127">
        <v>44532</v>
      </c>
      <c r="B800">
        <v>25.6</v>
      </c>
      <c r="C800">
        <v>12177.519531</v>
      </c>
    </row>
    <row r="801" spans="1:3" x14ac:dyDescent="0.3">
      <c r="A801" s="127">
        <v>44533</v>
      </c>
      <c r="B801">
        <v>25.719999000000001</v>
      </c>
      <c r="C801">
        <v>12175.769531</v>
      </c>
    </row>
    <row r="802" spans="1:3" x14ac:dyDescent="0.3">
      <c r="A802" s="127">
        <v>44536</v>
      </c>
      <c r="B802">
        <v>25.84</v>
      </c>
      <c r="C802">
        <v>12375.349609000001</v>
      </c>
    </row>
    <row r="803" spans="1:3" x14ac:dyDescent="0.3">
      <c r="A803" s="127">
        <v>44537</v>
      </c>
      <c r="B803">
        <v>27.16</v>
      </c>
      <c r="C803">
        <v>12513.620117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3534-E0F1-4566-A342-26FFF2A30CD0}">
  <dimension ref="A1:L69"/>
  <sheetViews>
    <sheetView topLeftCell="A55" workbookViewId="0">
      <selection activeCell="K73" sqref="K73"/>
    </sheetView>
  </sheetViews>
  <sheetFormatPr defaultRowHeight="14.4" x14ac:dyDescent="0.3"/>
  <cols>
    <col min="1" max="1" width="32.88671875" bestFit="1" customWidth="1"/>
    <col min="2" max="2" width="10.44140625" style="4" bestFit="1" customWidth="1"/>
    <col min="3" max="11" width="10.33203125" style="4" bestFit="1" customWidth="1"/>
  </cols>
  <sheetData>
    <row r="1" spans="1:12" ht="25.8" x14ac:dyDescent="0.5">
      <c r="A1" s="131" t="s">
        <v>45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24" t="s">
        <v>137</v>
      </c>
    </row>
    <row r="2" spans="1:12" x14ac:dyDescent="0.3">
      <c r="A2" s="15"/>
    </row>
    <row r="3" spans="1:12" ht="21.6" thickBot="1" x14ac:dyDescent="0.45">
      <c r="A3" s="9" t="s">
        <v>132</v>
      </c>
      <c r="B3" s="11" t="s">
        <v>31</v>
      </c>
      <c r="C3" s="11" t="s">
        <v>32</v>
      </c>
      <c r="D3" s="11" t="s">
        <v>33</v>
      </c>
      <c r="E3" s="11" t="s">
        <v>34</v>
      </c>
      <c r="F3" s="11" t="s">
        <v>35</v>
      </c>
      <c r="G3" s="11" t="s">
        <v>36</v>
      </c>
      <c r="H3" s="11" t="s">
        <v>37</v>
      </c>
      <c r="I3" s="11" t="s">
        <v>38</v>
      </c>
      <c r="J3" s="11" t="s">
        <v>39</v>
      </c>
      <c r="K3" s="11" t="s">
        <v>40</v>
      </c>
    </row>
    <row r="5" spans="1:12" ht="15.6" x14ac:dyDescent="0.3">
      <c r="A5" s="25" t="s">
        <v>117</v>
      </c>
    </row>
    <row r="7" spans="1:12" x14ac:dyDescent="0.3">
      <c r="A7" t="s">
        <v>118</v>
      </c>
      <c r="B7" s="17">
        <f>+'Historical IS'!B24/'Historical BS'!B19*100</f>
        <v>-0.82576212256048587</v>
      </c>
      <c r="C7" s="17">
        <f>+'Historical IS'!C24/'Historical BS'!C19*100</f>
        <v>-2.1195616510269732</v>
      </c>
      <c r="D7" s="17">
        <f>+'Historical IS'!D24/'Historical BS'!D19*100</f>
        <v>-1.8716816133493968</v>
      </c>
      <c r="E7" s="17">
        <f>+'Historical IS'!E24/'Historical BS'!E19*100</f>
        <v>2.2628648843165924</v>
      </c>
      <c r="F7" s="17">
        <f>+'Historical IS'!F24/'Historical BS'!F19*100</f>
        <v>1.4710972654897871</v>
      </c>
      <c r="G7"/>
      <c r="H7"/>
      <c r="I7"/>
      <c r="J7"/>
      <c r="K7"/>
    </row>
    <row r="8" spans="1:12" x14ac:dyDescent="0.3">
      <c r="A8" t="s">
        <v>119</v>
      </c>
      <c r="B8" s="17">
        <v>0</v>
      </c>
      <c r="C8" s="17">
        <v>-8.99</v>
      </c>
      <c r="D8" s="17">
        <v>-5.78</v>
      </c>
      <c r="E8" s="17">
        <v>5.53</v>
      </c>
      <c r="F8" s="17">
        <v>3.53</v>
      </c>
      <c r="G8"/>
      <c r="H8"/>
      <c r="I8"/>
      <c r="J8"/>
      <c r="K8"/>
    </row>
    <row r="9" spans="1:12" x14ac:dyDescent="0.3">
      <c r="A9" t="s">
        <v>120</v>
      </c>
      <c r="B9" s="17">
        <f>+'Historical IS'!B8/'Historical IS'!B4*100</f>
        <v>22.920292377305948</v>
      </c>
      <c r="C9" s="17">
        <f>+'Historical IS'!C8/'Historical IS'!C4*100</f>
        <v>23.339943513010027</v>
      </c>
      <c r="D9" s="17">
        <f>+'Historical IS'!D8/'Historical IS'!D4*100</f>
        <v>22.421096593282023</v>
      </c>
      <c r="E9" s="17">
        <f>+'Historical IS'!E8/'Historical IS'!E4*100</f>
        <v>23.19636750938955</v>
      </c>
      <c r="F9" s="17">
        <f>+'Historical IS'!F8/'Historical IS'!F4*100</f>
        <v>21.689334287759479</v>
      </c>
      <c r="G9"/>
      <c r="H9"/>
      <c r="I9"/>
      <c r="J9"/>
      <c r="K9"/>
    </row>
    <row r="10" spans="1:12" x14ac:dyDescent="0.3">
      <c r="A10" t="s">
        <v>121</v>
      </c>
      <c r="B10" s="17">
        <f>+'Historical IS'!B16/'Historical IS'!B4*100</f>
        <v>9.281819236570362</v>
      </c>
      <c r="C10" s="17">
        <f>+'Historical IS'!C16/'Historical IS'!C4*100</f>
        <v>10.095547142599596</v>
      </c>
      <c r="D10" s="17">
        <f>+'Historical IS'!D16/'Historical IS'!D4*100</f>
        <v>7.3623292166338477</v>
      </c>
      <c r="E10" s="17">
        <f>+'Historical IS'!E16/'Historical IS'!E4*100</f>
        <v>10.796569314423461</v>
      </c>
      <c r="F10" s="17">
        <f>+'Historical IS'!F16/'Historical IS'!F4*100</f>
        <v>9.470844116513403</v>
      </c>
      <c r="G10"/>
      <c r="H10"/>
      <c r="I10"/>
      <c r="J10"/>
      <c r="K10"/>
    </row>
    <row r="11" spans="1:12" x14ac:dyDescent="0.3">
      <c r="A11" t="s">
        <v>138</v>
      </c>
      <c r="B11" s="17">
        <v>24.23</v>
      </c>
      <c r="C11" s="17">
        <v>24.58</v>
      </c>
      <c r="D11" s="17">
        <v>28</v>
      </c>
      <c r="E11" s="17">
        <v>27</v>
      </c>
      <c r="F11" s="17">
        <v>27</v>
      </c>
      <c r="G11"/>
      <c r="H11"/>
      <c r="I11"/>
      <c r="J11"/>
      <c r="K11"/>
    </row>
    <row r="12" spans="1:12" x14ac:dyDescent="0.3">
      <c r="A12" t="s">
        <v>122</v>
      </c>
      <c r="B12" s="17">
        <f>-+'Historical IS'!B24/'Historical IS'!B6*100</f>
        <v>-3.002935199819381</v>
      </c>
      <c r="C12" s="17">
        <f>-+'Historical IS'!C24/'Historical IS'!C6*100</f>
        <v>-7.5958297405346178</v>
      </c>
      <c r="D12" s="17">
        <f>-+'Historical IS'!D24/'Historical IS'!D6*100</f>
        <v>-6.4523571483503863</v>
      </c>
      <c r="E12" s="17">
        <f>-+'Historical IS'!E24/'Historical IS'!E6*100</f>
        <v>7.80235019341655</v>
      </c>
      <c r="F12" s="17">
        <f>-+'Historical IS'!F24/'Historical IS'!F6*100</f>
        <v>4.7813247081985599</v>
      </c>
      <c r="G12"/>
      <c r="H12"/>
      <c r="I12"/>
      <c r="J12"/>
      <c r="K12"/>
    </row>
    <row r="13" spans="1:12" x14ac:dyDescent="0.3">
      <c r="B13" s="17"/>
      <c r="C13" s="17"/>
      <c r="D13" s="17"/>
      <c r="E13" s="17"/>
      <c r="F13" s="17"/>
      <c r="G13"/>
      <c r="H13"/>
      <c r="I13"/>
      <c r="J13"/>
      <c r="K13"/>
    </row>
    <row r="14" spans="1:12" x14ac:dyDescent="0.3">
      <c r="B14" s="17"/>
      <c r="C14" s="17"/>
      <c r="D14" s="17"/>
      <c r="E14" s="17"/>
      <c r="F14" s="17"/>
      <c r="G14"/>
      <c r="H14"/>
      <c r="I14"/>
      <c r="J14"/>
      <c r="K14"/>
    </row>
    <row r="15" spans="1:12" ht="15.6" x14ac:dyDescent="0.3">
      <c r="A15" s="25" t="s">
        <v>123</v>
      </c>
      <c r="B15" s="17"/>
      <c r="C15" s="17"/>
      <c r="D15" s="17"/>
      <c r="E15" s="17"/>
      <c r="F15" s="17"/>
      <c r="G15"/>
      <c r="H15"/>
      <c r="I15"/>
      <c r="J15"/>
      <c r="K15"/>
    </row>
    <row r="16" spans="1:12" x14ac:dyDescent="0.3">
      <c r="B16" s="17" t="str">
        <f>B3</f>
        <v>FY16</v>
      </c>
      <c r="C16" s="17" t="str">
        <f t="shared" ref="C16:G16" si="0">C3</f>
        <v>FY17</v>
      </c>
      <c r="D16" s="17" t="str">
        <f t="shared" si="0"/>
        <v>FY18</v>
      </c>
      <c r="E16" s="17" t="str">
        <f t="shared" si="0"/>
        <v>FY19</v>
      </c>
      <c r="F16" s="17" t="str">
        <f t="shared" si="0"/>
        <v>FY20</v>
      </c>
      <c r="G16" s="17" t="str">
        <f t="shared" si="0"/>
        <v>FY21E</v>
      </c>
      <c r="H16"/>
      <c r="I16"/>
      <c r="J16"/>
      <c r="K16"/>
    </row>
    <row r="17" spans="1:11" x14ac:dyDescent="0.3">
      <c r="A17" t="s">
        <v>124</v>
      </c>
      <c r="B17" s="17">
        <f>(+'Historical BS'!B9-'Historical BS'!B6)/'Historical BS'!B26</f>
        <v>0.79129806824336502</v>
      </c>
      <c r="C17" s="17">
        <f>(+'Historical BS'!C9-'Historical BS'!C6)/'Historical BS'!C26</f>
        <v>0.76251581420567516</v>
      </c>
      <c r="D17" s="17">
        <f>(+'Historical BS'!D9-'Historical BS'!D6)/'Historical BS'!D26</f>
        <v>0.68942875902823375</v>
      </c>
      <c r="E17" s="17">
        <f>(+'Historical BS'!E9-'Historical BS'!E6)/'Historical BS'!E26</f>
        <v>0.78999715828360317</v>
      </c>
      <c r="F17" s="17">
        <f>(+'Historical BS'!F9-'Historical BS'!F6)/'Historical BS'!F26</f>
        <v>0.88571844518852805</v>
      </c>
      <c r="G17" s="58">
        <f>('Proj BS'!C9-'Proj BS'!C6)/'Proj BS'!C26</f>
        <v>0.9603764646248143</v>
      </c>
      <c r="H17"/>
      <c r="I17"/>
      <c r="J17"/>
      <c r="K17"/>
    </row>
    <row r="18" spans="1:11" x14ac:dyDescent="0.3">
      <c r="A18" t="s">
        <v>125</v>
      </c>
      <c r="B18" s="17">
        <f>+'Historical BS'!B9/'Historical BS'!B26</f>
        <v>1.0180538003249682</v>
      </c>
      <c r="C18" s="17">
        <f>+'Historical BS'!C9/'Historical BS'!C26</f>
        <v>0.98373395987710099</v>
      </c>
      <c r="D18" s="17">
        <f>+'Historical BS'!D9/'Historical BS'!D26</f>
        <v>0.92646093237032168</v>
      </c>
      <c r="E18" s="17">
        <f>+'Historical BS'!E9/'Historical BS'!E26</f>
        <v>1.027564649048025</v>
      </c>
      <c r="F18" s="17">
        <f>+'Historical BS'!F9/'Historical BS'!F26</f>
        <v>1.134226233804047</v>
      </c>
      <c r="G18" s="58">
        <f>'Proj BS'!C9/'Proj BS'!C26</f>
        <v>1.1763007535196985</v>
      </c>
      <c r="H18"/>
      <c r="I18"/>
      <c r="J18"/>
      <c r="K18"/>
    </row>
    <row r="19" spans="1:11" x14ac:dyDescent="0.3">
      <c r="A19" t="s">
        <v>133</v>
      </c>
      <c r="B19" s="17">
        <v>4.3899999999999997</v>
      </c>
      <c r="C19" s="17">
        <v>4.41</v>
      </c>
      <c r="D19" s="17">
        <v>2.36</v>
      </c>
      <c r="E19" s="17">
        <v>2.38</v>
      </c>
      <c r="F19" s="17">
        <v>2.5499999999999998</v>
      </c>
      <c r="G19"/>
      <c r="H19"/>
      <c r="I19"/>
      <c r="J19"/>
      <c r="K19"/>
    </row>
    <row r="20" spans="1:11" x14ac:dyDescent="0.3">
      <c r="A20" t="s">
        <v>126</v>
      </c>
      <c r="B20" s="17">
        <v>0</v>
      </c>
      <c r="C20" s="17">
        <f>-+'Historical IS'!C6/('Historical BS'!B6+'Historical BS'!C6)*2</f>
        <v>10.287903225806453</v>
      </c>
      <c r="D20" s="17">
        <f>-+'Historical IS'!D6/('Historical BS'!C6+'Historical BS'!D6)*2</f>
        <v>9.7473763118440768</v>
      </c>
      <c r="E20" s="17">
        <f>-+'Historical IS'!E6/('Historical BS'!D6+'Historical BS'!E6)*2</f>
        <v>8.7939666238767646</v>
      </c>
      <c r="F20" s="17">
        <f>-+'Historical IS'!F6/('Historical BS'!E6+'Historical BS'!F6)*2</f>
        <v>8.4178751109795797</v>
      </c>
      <c r="G20"/>
      <c r="H20"/>
      <c r="I20"/>
      <c r="J20"/>
      <c r="K20"/>
    </row>
    <row r="21" spans="1:11" x14ac:dyDescent="0.3">
      <c r="A21" t="s">
        <v>127</v>
      </c>
      <c r="B21" s="17">
        <f>+'Historical IS'!B4/'Historical BS'!B19</f>
        <v>0.35675407189718333</v>
      </c>
      <c r="C21" s="17">
        <f>+'Historical IS'!C4/'Historical BS'!C19</f>
        <v>0.36400026248441497</v>
      </c>
      <c r="D21" s="17">
        <f>+'Historical IS'!D4/'Historical BS'!D19</f>
        <v>0.37391246151786905</v>
      </c>
      <c r="E21" s="17">
        <f>+'Historical IS'!E4/'Historical BS'!E19</f>
        <v>0.37761690057365421</v>
      </c>
      <c r="F21" s="17">
        <f>+'Historical IS'!F4/'Historical BS'!F19</f>
        <v>0.39289113880235377</v>
      </c>
      <c r="G21"/>
      <c r="H21"/>
      <c r="I21"/>
      <c r="J21"/>
      <c r="K21"/>
    </row>
    <row r="22" spans="1:11" x14ac:dyDescent="0.3">
      <c r="A22" t="s">
        <v>128</v>
      </c>
      <c r="B22" s="17">
        <v>0</v>
      </c>
      <c r="C22" s="17">
        <v>43.19</v>
      </c>
      <c r="D22" s="17">
        <v>37.909999999999997</v>
      </c>
      <c r="E22" s="17">
        <v>34.43</v>
      </c>
      <c r="F22" s="17">
        <v>30.26</v>
      </c>
      <c r="G22"/>
      <c r="H22"/>
      <c r="I22"/>
      <c r="J22"/>
      <c r="K22"/>
    </row>
    <row r="23" spans="1:11" x14ac:dyDescent="0.3">
      <c r="A23" t="s">
        <v>129</v>
      </c>
      <c r="B23" s="17">
        <f>-+'Historical BS'!B6/'Historical IS'!B6*365</f>
        <v>34.502897569052458</v>
      </c>
      <c r="C23" s="17">
        <f>-+'Historical BS'!C6/'Historical IS'!C6*365</f>
        <v>35.020772908991141</v>
      </c>
      <c r="D23" s="17">
        <f>-+'Historical BS'!D6/'Historical IS'!D6*365</f>
        <v>40.533722987003003</v>
      </c>
      <c r="E23" s="17">
        <f>-+'Historical BS'!E6/'Historical IS'!E6*365</f>
        <v>44.54273410699949</v>
      </c>
      <c r="F23" s="17">
        <f>-+'Historical BS'!F6/'Historical IS'!F6*365</f>
        <v>43.8092392068626</v>
      </c>
      <c r="G23"/>
      <c r="H23"/>
      <c r="I23"/>
      <c r="J23"/>
      <c r="K23"/>
    </row>
    <row r="24" spans="1:11" x14ac:dyDescent="0.3">
      <c r="A24" t="s">
        <v>130</v>
      </c>
      <c r="B24" s="17">
        <v>0</v>
      </c>
      <c r="C24" s="17">
        <v>43.69</v>
      </c>
      <c r="D24" s="17">
        <v>44.7</v>
      </c>
      <c r="E24" s="17">
        <v>46.01</v>
      </c>
      <c r="F24" s="17">
        <v>44.08</v>
      </c>
      <c r="G24"/>
      <c r="H24"/>
      <c r="I24"/>
      <c r="J24"/>
      <c r="K24"/>
    </row>
    <row r="25" spans="1:11" x14ac:dyDescent="0.3">
      <c r="G25"/>
      <c r="H25"/>
      <c r="I25"/>
      <c r="J25"/>
      <c r="K25"/>
    </row>
    <row r="26" spans="1:11" x14ac:dyDescent="0.3">
      <c r="G26"/>
      <c r="H26"/>
      <c r="I26"/>
      <c r="J26"/>
      <c r="K26"/>
    </row>
    <row r="27" spans="1:11" ht="15.6" x14ac:dyDescent="0.3">
      <c r="A27" s="25" t="s">
        <v>131</v>
      </c>
      <c r="G27"/>
      <c r="H27"/>
      <c r="I27"/>
      <c r="J27"/>
      <c r="K27"/>
    </row>
    <row r="28" spans="1:11" x14ac:dyDescent="0.3">
      <c r="G28"/>
      <c r="H28"/>
      <c r="I28"/>
      <c r="J28"/>
      <c r="K28"/>
    </row>
    <row r="29" spans="1:11" x14ac:dyDescent="0.3">
      <c r="A29" t="s">
        <v>134</v>
      </c>
      <c r="B29" s="17">
        <v>0.56000000000000005</v>
      </c>
      <c r="C29" s="17">
        <v>0.56000000000000005</v>
      </c>
      <c r="D29" s="17">
        <v>0.36</v>
      </c>
      <c r="E29" s="17">
        <v>0.34</v>
      </c>
      <c r="F29" s="17">
        <v>0.36</v>
      </c>
      <c r="G29"/>
      <c r="H29"/>
      <c r="I29"/>
      <c r="J29"/>
      <c r="K29"/>
    </row>
    <row r="30" spans="1:11" x14ac:dyDescent="0.3">
      <c r="A30" t="s">
        <v>136</v>
      </c>
      <c r="B30" s="17">
        <v>2.4700000000000002</v>
      </c>
      <c r="C30" s="17">
        <v>2.4700000000000002</v>
      </c>
      <c r="D30" s="17">
        <v>0.84</v>
      </c>
      <c r="E30" s="17">
        <v>0.8</v>
      </c>
      <c r="F30" s="17">
        <v>0.93</v>
      </c>
      <c r="G30"/>
      <c r="H30"/>
      <c r="I30"/>
      <c r="J30"/>
      <c r="K30"/>
    </row>
    <row r="31" spans="1:11" x14ac:dyDescent="0.3">
      <c r="A31" t="s">
        <v>135</v>
      </c>
      <c r="B31" s="17">
        <f>+'Historical BS'!B28/'Historical BS'!B19</f>
        <v>0.55880709451768462</v>
      </c>
      <c r="C31" s="17">
        <f>+'Historical BS'!C28/'Historical BS'!C19</f>
        <v>0.55432333705186254</v>
      </c>
      <c r="D31" s="17">
        <f>+'Historical BS'!D28/'Historical BS'!D19</f>
        <v>0.34723151742292419</v>
      </c>
      <c r="E31" s="17">
        <f>+'Historical BS'!E28/'Historical BS'!E19</f>
        <v>0.32639021189221229</v>
      </c>
      <c r="F31" s="17">
        <f>+'Historical BS'!F28/'Historical BS'!F19</f>
        <v>0.35905590169608864</v>
      </c>
      <c r="G31"/>
      <c r="H31"/>
      <c r="I31"/>
      <c r="J31"/>
      <c r="K31"/>
    </row>
    <row r="32" spans="1:11" x14ac:dyDescent="0.3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4" spans="1:3" x14ac:dyDescent="0.3">
      <c r="B34" s="4" t="s">
        <v>227</v>
      </c>
      <c r="C34" s="4" t="s">
        <v>161</v>
      </c>
    </row>
    <row r="35" spans="1:3" x14ac:dyDescent="0.3">
      <c r="A35">
        <v>2020</v>
      </c>
      <c r="B35" s="4">
        <v>1816.1</v>
      </c>
      <c r="C35" s="31">
        <v>1.8050339144570771E-2</v>
      </c>
    </row>
    <row r="36" spans="1:3" x14ac:dyDescent="0.3">
      <c r="A36">
        <v>2021</v>
      </c>
      <c r="B36" s="4">
        <v>2038.12</v>
      </c>
      <c r="C36" s="31">
        <v>0.12225097736908763</v>
      </c>
    </row>
    <row r="37" spans="1:3" x14ac:dyDescent="0.3">
      <c r="A37">
        <v>2022</v>
      </c>
      <c r="B37" s="4">
        <v>2170.5977999999996</v>
      </c>
      <c r="C37" s="31">
        <v>6.4999999999999947E-2</v>
      </c>
    </row>
    <row r="38" spans="1:3" x14ac:dyDescent="0.3">
      <c r="A38">
        <v>2023</v>
      </c>
      <c r="B38" s="4">
        <v>2311.6866569999993</v>
      </c>
      <c r="C38" s="31">
        <v>6.4999999999999947E-2</v>
      </c>
    </row>
    <row r="39" spans="1:3" x14ac:dyDescent="0.3">
      <c r="A39">
        <v>2024</v>
      </c>
      <c r="B39" s="4">
        <v>2461.9462897049989</v>
      </c>
      <c r="C39" s="31">
        <v>6.4999999999999947E-2</v>
      </c>
    </row>
    <row r="40" spans="1:3" x14ac:dyDescent="0.3">
      <c r="A40">
        <v>2025</v>
      </c>
      <c r="B40" s="4">
        <v>2621.9727985358236</v>
      </c>
      <c r="C40" s="31">
        <v>6.4999999999999947E-2</v>
      </c>
    </row>
    <row r="41" spans="1:3" x14ac:dyDescent="0.3">
      <c r="A41">
        <v>2026</v>
      </c>
      <c r="B41" s="4">
        <v>2726.85</v>
      </c>
      <c r="C41" s="31">
        <v>4.0000000000000036E-2</v>
      </c>
    </row>
    <row r="44" spans="1:3" x14ac:dyDescent="0.3">
      <c r="B44" s="4" t="s">
        <v>291</v>
      </c>
      <c r="C44" s="4" t="s">
        <v>292</v>
      </c>
    </row>
    <row r="45" spans="1:3" x14ac:dyDescent="0.3">
      <c r="A45">
        <v>2020</v>
      </c>
      <c r="B45" s="4">
        <v>-80</v>
      </c>
      <c r="C45" s="4">
        <v>47.7</v>
      </c>
    </row>
    <row r="46" spans="1:3" x14ac:dyDescent="0.3">
      <c r="A46">
        <v>2021</v>
      </c>
      <c r="B46" s="4">
        <v>-69.702081197759867</v>
      </c>
      <c r="C46" s="4">
        <v>10.297918802240133</v>
      </c>
    </row>
    <row r="47" spans="1:3" x14ac:dyDescent="0.3">
      <c r="A47">
        <v>2022</v>
      </c>
      <c r="B47" s="4">
        <v>-74.232716475614211</v>
      </c>
      <c r="C47" s="4">
        <v>-4.5306352778543442</v>
      </c>
    </row>
    <row r="48" spans="1:3" x14ac:dyDescent="0.3">
      <c r="A48">
        <v>2023</v>
      </c>
      <c r="B48" s="4">
        <v>-79.057843046529115</v>
      </c>
      <c r="C48" s="4">
        <v>-4.8251265709149038</v>
      </c>
    </row>
    <row r="49" spans="1:3" x14ac:dyDescent="0.3">
      <c r="A49">
        <v>2024</v>
      </c>
      <c r="B49" s="4">
        <v>-84.196602844553581</v>
      </c>
      <c r="C49" s="4">
        <v>-5.1387597980244664</v>
      </c>
    </row>
    <row r="50" spans="1:3" x14ac:dyDescent="0.3">
      <c r="A50">
        <v>2025</v>
      </c>
      <c r="B50" s="4">
        <v>-89.669382029449594</v>
      </c>
      <c r="C50" s="4">
        <v>-5.4727791848960123</v>
      </c>
    </row>
    <row r="51" spans="1:3" x14ac:dyDescent="0.3">
      <c r="A51">
        <v>2026</v>
      </c>
      <c r="B51" s="4">
        <v>-93.256157310627486</v>
      </c>
      <c r="C51" s="4">
        <v>-3.5867752811778928</v>
      </c>
    </row>
    <row r="53" spans="1:3" x14ac:dyDescent="0.3">
      <c r="B53" s="4" t="s">
        <v>293</v>
      </c>
    </row>
    <row r="54" spans="1:3" x14ac:dyDescent="0.3">
      <c r="A54">
        <v>2020</v>
      </c>
      <c r="B54" s="4">
        <v>67.999999999999915</v>
      </c>
    </row>
    <row r="55" spans="1:3" x14ac:dyDescent="0.3">
      <c r="A55">
        <v>2021</v>
      </c>
      <c r="B55" s="4">
        <v>117.26999260217494</v>
      </c>
    </row>
    <row r="56" spans="1:3" x14ac:dyDescent="0.3">
      <c r="A56">
        <v>2022</v>
      </c>
      <c r="B56" s="4">
        <v>124.89254212131637</v>
      </c>
    </row>
    <row r="57" spans="1:3" x14ac:dyDescent="0.3">
      <c r="A57">
        <v>2023</v>
      </c>
      <c r="B57" s="4">
        <v>133.01055735920198</v>
      </c>
    </row>
    <row r="58" spans="1:3" x14ac:dyDescent="0.3">
      <c r="A58">
        <v>2024</v>
      </c>
      <c r="B58" s="4">
        <v>141.65624358754997</v>
      </c>
    </row>
    <row r="59" spans="1:3" x14ac:dyDescent="0.3">
      <c r="A59">
        <v>2025</v>
      </c>
      <c r="B59" s="4">
        <v>150.86389942074075</v>
      </c>
    </row>
    <row r="60" spans="1:3" x14ac:dyDescent="0.3">
      <c r="A60">
        <v>2026</v>
      </c>
      <c r="B60" s="4">
        <v>156.8984553975705</v>
      </c>
    </row>
    <row r="62" spans="1:3" x14ac:dyDescent="0.3">
      <c r="B62" s="4" t="s">
        <v>226</v>
      </c>
    </row>
    <row r="63" spans="1:3" x14ac:dyDescent="0.3">
      <c r="A63">
        <v>2020</v>
      </c>
      <c r="B63" s="4">
        <v>223.19999999999987</v>
      </c>
    </row>
    <row r="64" spans="1:3" x14ac:dyDescent="0.3">
      <c r="A64">
        <v>2021</v>
      </c>
      <c r="B64" s="4">
        <v>249.11753728016572</v>
      </c>
    </row>
    <row r="65" spans="1:2" x14ac:dyDescent="0.3">
      <c r="A65">
        <v>2022</v>
      </c>
      <c r="B65" s="4">
        <v>280.80809600561662</v>
      </c>
    </row>
    <row r="66" spans="1:2" x14ac:dyDescent="0.3">
      <c r="A66">
        <v>2023</v>
      </c>
      <c r="B66" s="4">
        <v>299.06062224598179</v>
      </c>
    </row>
    <row r="67" spans="1:2" x14ac:dyDescent="0.3">
      <c r="A67">
        <v>2024</v>
      </c>
      <c r="B67" s="4">
        <v>318.49956269197048</v>
      </c>
    </row>
    <row r="68" spans="1:2" x14ac:dyDescent="0.3">
      <c r="A68">
        <v>2025</v>
      </c>
      <c r="B68" s="4">
        <v>339.20203426694849</v>
      </c>
    </row>
    <row r="69" spans="1:2" x14ac:dyDescent="0.3">
      <c r="A69">
        <v>2026</v>
      </c>
      <c r="B69" s="4">
        <v>350.66520056651274</v>
      </c>
    </row>
  </sheetData>
  <mergeCells count="1">
    <mergeCell ref="A1:K1"/>
  </mergeCells>
  <hyperlinks>
    <hyperlink ref="L1" r:id="rId1" xr:uid="{AB5FADC3-B933-4A2B-B687-9125D4D8856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F45"/>
  <sheetViews>
    <sheetView zoomScale="60" zoomScaleNormal="60" workbookViewId="0">
      <selection activeCell="F44" sqref="F44"/>
    </sheetView>
  </sheetViews>
  <sheetFormatPr defaultRowHeight="14.4" x14ac:dyDescent="0.3"/>
  <cols>
    <col min="1" max="1" width="38.44140625" bestFit="1" customWidth="1"/>
    <col min="2" max="2" width="13.109375" style="4" bestFit="1" customWidth="1"/>
    <col min="3" max="6" width="10.44140625" style="4" bestFit="1" customWidth="1"/>
    <col min="7" max="7" width="10.77734375" bestFit="1" customWidth="1"/>
    <col min="8" max="8" width="11.21875" customWidth="1"/>
    <col min="9" max="9" width="15.44140625" customWidth="1"/>
    <col min="10" max="10" width="9.5546875" customWidth="1"/>
    <col min="11" max="110" width="9.109375"/>
  </cols>
  <sheetData>
    <row r="1" spans="1:110" ht="25.8" x14ac:dyDescent="0.5">
      <c r="A1" s="131" t="s">
        <v>45</v>
      </c>
      <c r="B1" s="131"/>
      <c r="C1" s="131"/>
      <c r="D1" s="131"/>
      <c r="E1" s="131"/>
      <c r="F1" s="131"/>
      <c r="K1" s="131" t="s">
        <v>45</v>
      </c>
      <c r="L1" s="131"/>
      <c r="M1" s="131"/>
      <c r="N1" s="131"/>
      <c r="O1" s="131"/>
      <c r="P1" s="131"/>
    </row>
    <row r="3" spans="1:110" s="8" customFormat="1" ht="21.6" thickBot="1" x14ac:dyDescent="0.45">
      <c r="A3" s="9" t="s">
        <v>41</v>
      </c>
      <c r="B3" s="11" t="s">
        <v>31</v>
      </c>
      <c r="C3" s="11" t="s">
        <v>32</v>
      </c>
      <c r="D3" s="11" t="s">
        <v>33</v>
      </c>
      <c r="E3" s="11" t="s">
        <v>34</v>
      </c>
      <c r="F3" s="11" t="s">
        <v>35</v>
      </c>
      <c r="G3" s="11" t="s">
        <v>153</v>
      </c>
      <c r="H3" s="27" t="s">
        <v>141</v>
      </c>
      <c r="I3" s="27" t="s">
        <v>140</v>
      </c>
      <c r="J3" s="27"/>
      <c r="K3" s="11" t="s">
        <v>31</v>
      </c>
      <c r="L3" s="11" t="s">
        <v>32</v>
      </c>
      <c r="M3" s="11" t="s">
        <v>33</v>
      </c>
      <c r="N3" s="11" t="s">
        <v>34</v>
      </c>
      <c r="O3" s="11" t="s">
        <v>35</v>
      </c>
      <c r="P3" s="11" t="s">
        <v>153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</row>
    <row r="4" spans="1:110" x14ac:dyDescent="0.3">
      <c r="A4" s="4" t="s">
        <v>0</v>
      </c>
      <c r="B4" s="4">
        <v>123.7</v>
      </c>
      <c r="C4" s="4">
        <v>103.9</v>
      </c>
      <c r="D4" s="4">
        <v>157.1</v>
      </c>
      <c r="E4" s="4">
        <v>261</v>
      </c>
      <c r="F4" s="4">
        <v>355.1</v>
      </c>
      <c r="G4" s="15">
        <v>152</v>
      </c>
      <c r="H4" t="s">
        <v>154</v>
      </c>
      <c r="I4" s="16">
        <f>AVERAGE(K4:O4)</f>
        <v>4.3088855808557869E-2</v>
      </c>
      <c r="K4" s="42">
        <f>B4/$B$19</f>
        <v>2.5600695378629527E-2</v>
      </c>
      <c r="L4" s="42">
        <f>C4/$C$19</f>
        <v>2.2726775597698888E-2</v>
      </c>
      <c r="M4" s="42">
        <f>D4/$D$19</f>
        <v>3.5046624726721098E-2</v>
      </c>
      <c r="N4" s="42">
        <f>E4/$E$19</f>
        <v>5.5248618784530384E-2</v>
      </c>
      <c r="O4" s="42">
        <f>F4/$F$19</f>
        <v>7.6821564555209429E-2</v>
      </c>
      <c r="P4" s="42">
        <f>G4/$G$19</f>
        <v>2.9050322038109429E-2</v>
      </c>
      <c r="Q4" s="42"/>
    </row>
    <row r="5" spans="1:110" x14ac:dyDescent="0.3">
      <c r="A5" s="4" t="s">
        <v>1</v>
      </c>
      <c r="B5" s="4">
        <v>293.39999999999998</v>
      </c>
      <c r="C5" s="4">
        <v>287.3</v>
      </c>
      <c r="D5" s="4">
        <v>242.7</v>
      </c>
      <c r="E5" s="4">
        <v>271.60000000000002</v>
      </c>
      <c r="F5" s="4">
        <v>222</v>
      </c>
      <c r="G5" s="15">
        <v>250.1</v>
      </c>
      <c r="I5" s="16">
        <f t="shared" ref="I5:I41" si="0">AVERAGE(K5:O5)</f>
        <v>5.66453430895799E-2</v>
      </c>
      <c r="K5" s="42">
        <f t="shared" ref="K5:K41" si="1">B5/$B$19</f>
        <v>6.0721455328131793E-2</v>
      </c>
      <c r="L5" s="42">
        <f t="shared" ref="L5:L41" si="2">C5/$C$19</f>
        <v>6.2843143688343511E-2</v>
      </c>
      <c r="M5" s="42">
        <f t="shared" ref="M5:M41" si="3">D5/$D$19</f>
        <v>5.4142685048855568E-2</v>
      </c>
      <c r="N5" s="42">
        <f t="shared" ref="N5:N41" si="4">E5/$E$19</f>
        <v>5.7492432420990239E-2</v>
      </c>
      <c r="O5" s="42">
        <f t="shared" ref="O5:O41" si="5">F5/$F$19</f>
        <v>4.8026998961578402E-2</v>
      </c>
      <c r="P5" s="42">
        <f t="shared" ref="P5:P41" si="6">G5/$G$19</f>
        <v>4.7799246985073478E-2</v>
      </c>
    </row>
    <row r="6" spans="1:110" x14ac:dyDescent="0.3">
      <c r="A6" s="4" t="s">
        <v>2</v>
      </c>
      <c r="B6" s="4">
        <v>125.6</v>
      </c>
      <c r="C6" s="4">
        <v>122.4</v>
      </c>
      <c r="D6" s="4">
        <v>144.4</v>
      </c>
      <c r="E6" s="4">
        <v>167.2</v>
      </c>
      <c r="F6" s="4">
        <v>170.7</v>
      </c>
      <c r="G6" s="15">
        <v>214</v>
      </c>
      <c r="I6" s="16">
        <f t="shared" si="0"/>
        <v>3.1460525269229586E-2</v>
      </c>
      <c r="K6" s="42">
        <f t="shared" si="1"/>
        <v>2.5993915436991661E-2</v>
      </c>
      <c r="L6" s="42">
        <f t="shared" si="2"/>
        <v>2.6773410328761731E-2</v>
      </c>
      <c r="M6" s="42">
        <f t="shared" si="3"/>
        <v>3.221344755275956E-2</v>
      </c>
      <c r="N6" s="42">
        <f t="shared" si="4"/>
        <v>3.5392984907178085E-2</v>
      </c>
      <c r="O6" s="42">
        <f t="shared" si="5"/>
        <v>3.6928868120456905E-2</v>
      </c>
      <c r="P6" s="42">
        <f t="shared" si="6"/>
        <v>4.0899795501022483E-2</v>
      </c>
    </row>
    <row r="7" spans="1:110" x14ac:dyDescent="0.3">
      <c r="A7" s="4" t="s">
        <v>3</v>
      </c>
      <c r="B7" s="4">
        <v>4.0999999999999996</v>
      </c>
      <c r="C7" s="4">
        <v>2.5</v>
      </c>
      <c r="D7" s="4">
        <v>1</v>
      </c>
      <c r="E7" s="4">
        <v>1.2</v>
      </c>
      <c r="F7" s="4">
        <v>2.8</v>
      </c>
      <c r="I7" s="16">
        <f t="shared" si="0"/>
        <v>4.9564348267420034E-4</v>
      </c>
      <c r="K7" s="42">
        <f t="shared" si="1"/>
        <v>8.4852749436039655E-4</v>
      </c>
      <c r="L7" s="42">
        <f t="shared" si="2"/>
        <v>5.468425312247085E-4</v>
      </c>
      <c r="M7" s="42">
        <f t="shared" si="3"/>
        <v>2.2308481684736535E-4</v>
      </c>
      <c r="N7" s="42">
        <f t="shared" si="4"/>
        <v>2.5401663808979484E-4</v>
      </c>
      <c r="O7" s="42">
        <f t="shared" si="5"/>
        <v>6.0574593284873661E-4</v>
      </c>
      <c r="P7" s="42">
        <f t="shared" si="6"/>
        <v>0</v>
      </c>
    </row>
    <row r="8" spans="1:110" x14ac:dyDescent="0.3">
      <c r="A8" s="4" t="s">
        <v>4</v>
      </c>
      <c r="B8" s="4">
        <v>17.100000000000001</v>
      </c>
      <c r="C8" s="4">
        <v>28.2</v>
      </c>
      <c r="D8" s="4">
        <v>19.2</v>
      </c>
      <c r="E8" s="4">
        <v>22.2</v>
      </c>
      <c r="F8" s="4">
        <v>28.5</v>
      </c>
      <c r="G8" s="13">
        <v>61.7</v>
      </c>
      <c r="I8" s="16">
        <f t="shared" si="0"/>
        <v>4.9711057621344094E-3</v>
      </c>
      <c r="K8" s="42">
        <f t="shared" si="1"/>
        <v>3.5389805252592152E-3</v>
      </c>
      <c r="L8" s="42">
        <f t="shared" si="2"/>
        <v>6.1683837522147128E-3</v>
      </c>
      <c r="M8" s="42">
        <f t="shared" si="3"/>
        <v>4.2832284834694147E-3</v>
      </c>
      <c r="N8" s="42">
        <f t="shared" si="4"/>
        <v>4.6993078046612046E-3</v>
      </c>
      <c r="O8" s="42">
        <f t="shared" si="5"/>
        <v>6.1656282450674978E-3</v>
      </c>
      <c r="P8" s="42">
        <f t="shared" si="6"/>
        <v>1.1792137300995736E-2</v>
      </c>
    </row>
    <row r="9" spans="1:110" s="2" customFormat="1" x14ac:dyDescent="0.3">
      <c r="A9" s="5" t="s">
        <v>5</v>
      </c>
      <c r="B9" s="5">
        <f>SUM(B4:B8)</f>
        <v>563.9</v>
      </c>
      <c r="C9" s="5">
        <f>SUM(C4:C8)</f>
        <v>544.30000000000007</v>
      </c>
      <c r="D9" s="5">
        <f t="shared" ref="D9:F9" si="7">SUM(D4:D8)</f>
        <v>564.4</v>
      </c>
      <c r="E9" s="5">
        <f t="shared" si="7"/>
        <v>723.2</v>
      </c>
      <c r="F9" s="5">
        <f t="shared" si="7"/>
        <v>779.09999999999991</v>
      </c>
      <c r="G9" s="14">
        <f>SUM(G4:G8)</f>
        <v>677.80000000000007</v>
      </c>
      <c r="H9"/>
      <c r="I9" s="16">
        <f t="shared" si="0"/>
        <v>0.13666147341217597</v>
      </c>
      <c r="J9"/>
      <c r="K9" s="42">
        <f t="shared" si="1"/>
        <v>0.11670357416337258</v>
      </c>
      <c r="L9" s="42">
        <f t="shared" si="2"/>
        <v>0.11905855589824356</v>
      </c>
      <c r="M9" s="42">
        <f t="shared" si="3"/>
        <v>0.125909070628653</v>
      </c>
      <c r="N9" s="42">
        <f t="shared" si="4"/>
        <v>0.15308736055544972</v>
      </c>
      <c r="O9" s="42">
        <f t="shared" si="5"/>
        <v>0.16854880581516096</v>
      </c>
      <c r="P9" s="42">
        <f t="shared" si="6"/>
        <v>0.12954150182520113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</row>
    <row r="10" spans="1:110" x14ac:dyDescent="0.3">
      <c r="A10" s="4" t="s">
        <v>6</v>
      </c>
      <c r="B10" s="13">
        <v>6.3</v>
      </c>
      <c r="C10" s="4">
        <v>7.9</v>
      </c>
      <c r="D10" s="4">
        <v>4.4000000000000004</v>
      </c>
      <c r="E10" s="4">
        <v>5.6</v>
      </c>
      <c r="F10" s="4">
        <v>6.3</v>
      </c>
      <c r="I10" s="16">
        <f t="shared" si="0"/>
        <v>1.3123539699638356E-3</v>
      </c>
      <c r="K10" s="42">
        <f t="shared" si="1"/>
        <v>1.3038349303586582E-3</v>
      </c>
      <c r="L10" s="42">
        <f t="shared" si="2"/>
        <v>1.7280223986700792E-3</v>
      </c>
      <c r="M10" s="42">
        <f t="shared" si="3"/>
        <v>9.815731941284077E-4</v>
      </c>
      <c r="N10" s="42">
        <f t="shared" si="4"/>
        <v>1.185410977752376E-3</v>
      </c>
      <c r="O10" s="42">
        <f t="shared" si="5"/>
        <v>1.3629283489096575E-3</v>
      </c>
      <c r="P10" s="42">
        <f t="shared" si="6"/>
        <v>0</v>
      </c>
    </row>
    <row r="11" spans="1:110" x14ac:dyDescent="0.3">
      <c r="A11" s="4" t="s">
        <v>7</v>
      </c>
      <c r="B11" s="13">
        <v>219.7</v>
      </c>
      <c r="C11" s="4">
        <v>206.9</v>
      </c>
      <c r="D11" s="4">
        <v>198.7</v>
      </c>
      <c r="E11" s="4">
        <v>193.4</v>
      </c>
      <c r="F11" s="4">
        <v>184.5</v>
      </c>
      <c r="I11" s="16">
        <f>P11</f>
        <v>0</v>
      </c>
      <c r="K11" s="42">
        <f t="shared" si="1"/>
        <v>4.5468656222190026E-2</v>
      </c>
      <c r="L11" s="42">
        <f t="shared" si="2"/>
        <v>4.5256687884156883E-2</v>
      </c>
      <c r="M11" s="42">
        <f t="shared" si="3"/>
        <v>4.4326953107571496E-2</v>
      </c>
      <c r="N11" s="42">
        <f t="shared" si="4"/>
        <v>4.0939014838805271E-2</v>
      </c>
      <c r="O11" s="42">
        <f t="shared" si="5"/>
        <v>3.991433021806854E-2</v>
      </c>
      <c r="P11" s="42">
        <f t="shared" si="6"/>
        <v>0</v>
      </c>
    </row>
    <row r="12" spans="1:110" x14ac:dyDescent="0.3">
      <c r="A12" s="4" t="s">
        <v>8</v>
      </c>
      <c r="B12" s="13">
        <v>2.2999999999999998</v>
      </c>
      <c r="C12" s="4">
        <v>2.9</v>
      </c>
      <c r="D12" s="4">
        <v>12.1</v>
      </c>
      <c r="E12" s="4">
        <v>21.8</v>
      </c>
      <c r="F12" s="4">
        <v>30.5</v>
      </c>
      <c r="G12" s="15">
        <v>35.4</v>
      </c>
      <c r="I12" s="16">
        <f t="shared" si="0"/>
        <v>3.0045212703940101E-3</v>
      </c>
      <c r="K12" s="42">
        <f t="shared" si="1"/>
        <v>4.760032285436371E-4</v>
      </c>
      <c r="L12" s="42">
        <f t="shared" si="2"/>
        <v>6.3433733622066189E-4</v>
      </c>
      <c r="M12" s="42">
        <f t="shared" si="3"/>
        <v>2.6993262838531209E-3</v>
      </c>
      <c r="N12" s="42">
        <f t="shared" si="4"/>
        <v>4.6146355919646064E-3</v>
      </c>
      <c r="O12" s="42">
        <f t="shared" si="5"/>
        <v>6.5983039113880239E-3</v>
      </c>
      <c r="P12" s="42">
        <f t="shared" si="6"/>
        <v>6.7656671062439064E-3</v>
      </c>
    </row>
    <row r="13" spans="1:110" x14ac:dyDescent="0.3">
      <c r="A13" s="4" t="s">
        <v>9</v>
      </c>
      <c r="B13" s="13">
        <v>1028.8</v>
      </c>
      <c r="C13" s="4">
        <v>1015.4</v>
      </c>
      <c r="D13" s="4">
        <v>1068.8</v>
      </c>
      <c r="E13" s="4">
        <v>1073.0999999999999</v>
      </c>
      <c r="F13" s="4">
        <v>986.6</v>
      </c>
      <c r="G13" s="15">
        <v>1381.7</v>
      </c>
      <c r="I13" s="16">
        <f t="shared" si="0"/>
        <v>0.22281004264864596</v>
      </c>
      <c r="K13" s="42">
        <f t="shared" si="1"/>
        <v>0.2129183137068234</v>
      </c>
      <c r="L13" s="42">
        <f t="shared" si="2"/>
        <v>0.22210556248222763</v>
      </c>
      <c r="M13" s="42">
        <f t="shared" si="3"/>
        <v>0.23843305224646408</v>
      </c>
      <c r="N13" s="42">
        <f t="shared" si="4"/>
        <v>0.22715437861179905</v>
      </c>
      <c r="O13" s="42">
        <f t="shared" si="5"/>
        <v>0.21343890619591557</v>
      </c>
      <c r="P13" s="42">
        <f t="shared" si="6"/>
        <v>0.26407124973720919</v>
      </c>
    </row>
    <row r="14" spans="1:110" x14ac:dyDescent="0.3">
      <c r="A14" s="4" t="s">
        <v>42</v>
      </c>
      <c r="B14" s="13">
        <v>2780</v>
      </c>
      <c r="C14" s="4">
        <v>2561</v>
      </c>
      <c r="D14" s="4">
        <v>0</v>
      </c>
      <c r="E14" s="4">
        <v>49</v>
      </c>
      <c r="F14" s="4">
        <v>141.1</v>
      </c>
      <c r="I14" s="16">
        <f t="shared" si="0"/>
        <v>0.23528522721245554</v>
      </c>
      <c r="K14" s="42">
        <f t="shared" si="1"/>
        <v>0.57534303276143961</v>
      </c>
      <c r="L14" s="42">
        <f t="shared" si="2"/>
        <v>0.56018548898659148</v>
      </c>
      <c r="M14" s="42">
        <f t="shared" si="3"/>
        <v>0</v>
      </c>
      <c r="N14" s="42">
        <f t="shared" si="4"/>
        <v>1.0372346055333289E-2</v>
      </c>
      <c r="O14" s="42">
        <f t="shared" si="5"/>
        <v>3.0525268258913121E-2</v>
      </c>
      <c r="P14" s="42">
        <f t="shared" si="6"/>
        <v>0</v>
      </c>
    </row>
    <row r="15" spans="1:110" x14ac:dyDescent="0.3">
      <c r="A15" s="4" t="s">
        <v>10</v>
      </c>
      <c r="B15" s="13">
        <v>230.9</v>
      </c>
      <c r="C15" s="4">
        <v>233.3</v>
      </c>
      <c r="D15" s="4">
        <v>2486.6</v>
      </c>
      <c r="E15" s="4">
        <v>2460.3000000000002</v>
      </c>
      <c r="F15" s="4">
        <v>2292.8000000000002</v>
      </c>
      <c r="G15" s="15">
        <v>2912.3</v>
      </c>
      <c r="I15" s="16">
        <f t="shared" si="0"/>
        <v>0.33407152633745479</v>
      </c>
      <c r="K15" s="42">
        <f t="shared" si="1"/>
        <v>4.778658498727209E-2</v>
      </c>
      <c r="L15" s="42">
        <f t="shared" si="2"/>
        <v>5.1031345013889805E-2</v>
      </c>
      <c r="M15" s="42">
        <f t="shared" si="3"/>
        <v>0.55472270557265868</v>
      </c>
      <c r="N15" s="42">
        <f t="shared" si="4"/>
        <v>0.52079761224360199</v>
      </c>
      <c r="O15" s="42">
        <f t="shared" si="5"/>
        <v>0.49601938386985123</v>
      </c>
      <c r="P15" s="42">
        <f t="shared" si="6"/>
        <v>0.55660034783938217</v>
      </c>
    </row>
    <row r="16" spans="1:110" x14ac:dyDescent="0.3">
      <c r="A16" s="4" t="s">
        <v>17</v>
      </c>
      <c r="B16" s="13">
        <v>0</v>
      </c>
      <c r="C16" s="4">
        <v>0</v>
      </c>
      <c r="D16" s="4">
        <v>129.30000000000001</v>
      </c>
      <c r="E16" s="4">
        <v>168.4</v>
      </c>
      <c r="F16" s="4">
        <v>178.5</v>
      </c>
      <c r="G16">
        <f>224.5+0.6</f>
        <v>225.1</v>
      </c>
      <c r="I16" s="16">
        <f t="shared" si="0"/>
        <v>2.0621634316547836E-2</v>
      </c>
      <c r="K16" s="42">
        <f t="shared" si="1"/>
        <v>0</v>
      </c>
      <c r="L16" s="42">
        <f t="shared" si="2"/>
        <v>0</v>
      </c>
      <c r="M16" s="42">
        <f t="shared" si="3"/>
        <v>2.8844866818364342E-2</v>
      </c>
      <c r="N16" s="42">
        <f t="shared" si="4"/>
        <v>3.5647001545267877E-2</v>
      </c>
      <c r="O16" s="42">
        <f t="shared" si="5"/>
        <v>3.8616303219106959E-2</v>
      </c>
      <c r="P16" s="42">
        <f t="shared" si="6"/>
        <v>4.3021233491963372E-2</v>
      </c>
    </row>
    <row r="17" spans="1:105" x14ac:dyDescent="0.3">
      <c r="A17" s="4" t="s">
        <v>11</v>
      </c>
      <c r="B17" s="13">
        <v>0</v>
      </c>
      <c r="C17" s="4">
        <v>0</v>
      </c>
      <c r="D17" s="4">
        <v>18.3</v>
      </c>
      <c r="E17" s="4">
        <v>29.3</v>
      </c>
      <c r="F17" s="4">
        <v>23</v>
      </c>
      <c r="I17" s="16">
        <f t="shared" si="0"/>
        <v>3.0520923782037324E-3</v>
      </c>
      <c r="K17" s="42">
        <f t="shared" si="1"/>
        <v>0</v>
      </c>
      <c r="L17" s="42">
        <f t="shared" si="2"/>
        <v>0</v>
      </c>
      <c r="M17" s="42">
        <f t="shared" si="3"/>
        <v>4.0824521483067864E-3</v>
      </c>
      <c r="N17" s="42">
        <f t="shared" si="4"/>
        <v>6.2022395800258251E-3</v>
      </c>
      <c r="O17" s="42">
        <f t="shared" si="5"/>
        <v>4.9757701626860513E-3</v>
      </c>
      <c r="P17" s="42">
        <f t="shared" si="6"/>
        <v>0</v>
      </c>
    </row>
    <row r="18" spans="1:105" s="2" customFormat="1" x14ac:dyDescent="0.3">
      <c r="A18" s="5" t="s">
        <v>12</v>
      </c>
      <c r="B18" s="5">
        <f t="shared" ref="B18:F18" si="8">SUM(B10:B17)</f>
        <v>4268</v>
      </c>
      <c r="C18" s="5">
        <f t="shared" si="8"/>
        <v>4027.4</v>
      </c>
      <c r="D18" s="5">
        <f t="shared" si="8"/>
        <v>3918.2000000000003</v>
      </c>
      <c r="E18" s="5">
        <f t="shared" si="8"/>
        <v>4000.9</v>
      </c>
      <c r="F18" s="5">
        <f t="shared" si="8"/>
        <v>3843.3</v>
      </c>
      <c r="G18" s="39">
        <f>SUM(G10:G17)</f>
        <v>4554.5000000000009</v>
      </c>
      <c r="H18"/>
      <c r="I18" s="16">
        <f t="shared" si="0"/>
        <v>0.86333852658782406</v>
      </c>
      <c r="J18"/>
      <c r="K18" s="42">
        <f t="shared" si="1"/>
        <v>0.88329642583662749</v>
      </c>
      <c r="L18" s="42">
        <f t="shared" si="2"/>
        <v>0.88094144410175657</v>
      </c>
      <c r="M18" s="42">
        <f t="shared" si="3"/>
        <v>0.87409092937134703</v>
      </c>
      <c r="N18" s="42">
        <f t="shared" si="4"/>
        <v>0.8469126394445502</v>
      </c>
      <c r="O18" s="42">
        <f t="shared" si="5"/>
        <v>0.83145119418483915</v>
      </c>
      <c r="P18" s="42">
        <f t="shared" si="6"/>
        <v>0.87045849817479881</v>
      </c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</row>
    <row r="19" spans="1:105" s="3" customFormat="1" ht="17.399999999999999" x14ac:dyDescent="0.35">
      <c r="A19" s="6" t="s">
        <v>13</v>
      </c>
      <c r="B19" s="7">
        <f t="shared" ref="B19:F19" si="9">+B9+B18</f>
        <v>4831.8999999999996</v>
      </c>
      <c r="C19" s="7">
        <f t="shared" si="9"/>
        <v>4571.7</v>
      </c>
      <c r="D19" s="7">
        <f t="shared" si="9"/>
        <v>4482.6000000000004</v>
      </c>
      <c r="E19" s="7">
        <f t="shared" si="9"/>
        <v>4724.1000000000004</v>
      </c>
      <c r="F19" s="7">
        <f t="shared" si="9"/>
        <v>4622.3999999999996</v>
      </c>
      <c r="G19" s="40">
        <f>G18+G9</f>
        <v>5232.3000000000011</v>
      </c>
      <c r="H19" s="10"/>
      <c r="I19" s="16">
        <f t="shared" si="0"/>
        <v>1</v>
      </c>
      <c r="J19" s="10"/>
      <c r="K19" s="42">
        <f t="shared" si="1"/>
        <v>1</v>
      </c>
      <c r="L19" s="42">
        <f t="shared" si="2"/>
        <v>1</v>
      </c>
      <c r="M19" s="42">
        <f t="shared" si="3"/>
        <v>1</v>
      </c>
      <c r="N19" s="42">
        <f t="shared" si="4"/>
        <v>1</v>
      </c>
      <c r="O19" s="42">
        <f t="shared" si="5"/>
        <v>1</v>
      </c>
      <c r="P19" s="42">
        <f t="shared" si="6"/>
        <v>1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</row>
    <row r="20" spans="1:105" x14ac:dyDescent="0.3">
      <c r="A20" s="4" t="s">
        <v>14</v>
      </c>
      <c r="B20" s="13">
        <v>386.7</v>
      </c>
      <c r="C20" s="4">
        <v>410.1</v>
      </c>
      <c r="D20" s="4">
        <v>440.6</v>
      </c>
      <c r="E20" s="4">
        <v>492.3</v>
      </c>
      <c r="F20" s="4">
        <v>501.2</v>
      </c>
      <c r="G20" s="15">
        <v>530.9</v>
      </c>
      <c r="I20" s="16">
        <f t="shared" si="0"/>
        <v>9.6132939330855954E-2</v>
      </c>
      <c r="K20" s="42">
        <f t="shared" si="1"/>
        <v>8.0030629772967155E-2</v>
      </c>
      <c r="L20" s="42">
        <f t="shared" si="2"/>
        <v>8.9704048822101201E-2</v>
      </c>
      <c r="M20" s="42">
        <f t="shared" si="3"/>
        <v>9.8291170302949177E-2</v>
      </c>
      <c r="N20" s="42">
        <f t="shared" si="4"/>
        <v>0.10421032577633835</v>
      </c>
      <c r="O20" s="42">
        <f t="shared" si="5"/>
        <v>0.10842852197992385</v>
      </c>
      <c r="P20" s="42">
        <f t="shared" si="6"/>
        <v>0.10146589453968616</v>
      </c>
    </row>
    <row r="21" spans="1:105" x14ac:dyDescent="0.3">
      <c r="A21" s="4" t="s">
        <v>15</v>
      </c>
      <c r="B21" s="13">
        <v>22.3</v>
      </c>
      <c r="C21" s="4">
        <v>22.4</v>
      </c>
      <c r="D21" s="4">
        <v>34.9</v>
      </c>
      <c r="E21" s="4">
        <v>50.8</v>
      </c>
      <c r="F21" s="4">
        <v>24</v>
      </c>
      <c r="G21" s="15">
        <v>128.6</v>
      </c>
      <c r="I21" s="16">
        <f t="shared" si="0"/>
        <v>6.6492019867358965E-3</v>
      </c>
      <c r="K21" s="42">
        <f t="shared" si="1"/>
        <v>4.6151617376187426E-3</v>
      </c>
      <c r="L21" s="42">
        <f t="shared" si="2"/>
        <v>4.8997090797733888E-3</v>
      </c>
      <c r="M21" s="42">
        <f t="shared" si="3"/>
        <v>7.7856601079730504E-3</v>
      </c>
      <c r="N21" s="42">
        <f t="shared" si="4"/>
        <v>1.0753371012467983E-2</v>
      </c>
      <c r="O21" s="42">
        <f t="shared" si="5"/>
        <v>5.1921079958463139E-3</v>
      </c>
      <c r="P21" s="42">
        <f t="shared" si="6"/>
        <v>2.4578101408558373E-2</v>
      </c>
    </row>
    <row r="22" spans="1:105" x14ac:dyDescent="0.3">
      <c r="A22" s="4" t="s">
        <v>16</v>
      </c>
      <c r="B22" s="13">
        <v>51.1</v>
      </c>
      <c r="C22" s="4">
        <v>35.799999999999997</v>
      </c>
      <c r="D22" s="4">
        <v>25.6</v>
      </c>
      <c r="E22" s="4">
        <v>43.5</v>
      </c>
      <c r="F22" s="4">
        <v>37.299999999999997</v>
      </c>
      <c r="I22" s="16">
        <f t="shared" si="0"/>
        <v>8.2789621313500306E-3</v>
      </c>
      <c r="K22" s="42">
        <f t="shared" si="1"/>
        <v>1.0575549990686894E-2</v>
      </c>
      <c r="L22" s="42">
        <f t="shared" si="2"/>
        <v>7.8307850471378265E-3</v>
      </c>
      <c r="M22" s="42">
        <f t="shared" si="3"/>
        <v>5.7109713112925529E-3</v>
      </c>
      <c r="N22" s="42">
        <f t="shared" si="4"/>
        <v>9.2081031307550635E-3</v>
      </c>
      <c r="O22" s="42">
        <f t="shared" si="5"/>
        <v>8.0694011768778131E-3</v>
      </c>
      <c r="P22" s="42">
        <f t="shared" si="6"/>
        <v>0</v>
      </c>
    </row>
    <row r="23" spans="1:105" x14ac:dyDescent="0.3">
      <c r="A23" s="4" t="s">
        <v>17</v>
      </c>
      <c r="B23" s="13">
        <v>32.6</v>
      </c>
      <c r="C23" s="4">
        <v>26.5</v>
      </c>
      <c r="D23" s="4">
        <v>34.6</v>
      </c>
      <c r="E23" s="4">
        <v>45.2</v>
      </c>
      <c r="F23" s="4">
        <v>50.5</v>
      </c>
      <c r="I23" s="16">
        <f t="shared" si="0"/>
        <v>8.1510228946004119E-3</v>
      </c>
      <c r="K23" s="42">
        <f t="shared" si="1"/>
        <v>6.7468283697924222E-3</v>
      </c>
      <c r="L23" s="42">
        <f t="shared" si="2"/>
        <v>5.7965308309819103E-3</v>
      </c>
      <c r="M23" s="42">
        <f t="shared" si="3"/>
        <v>7.718734662918841E-3</v>
      </c>
      <c r="N23" s="42">
        <f t="shared" si="4"/>
        <v>9.5679600347156075E-3</v>
      </c>
      <c r="O23" s="42">
        <f t="shared" si="5"/>
        <v>1.0925060574593286E-2</v>
      </c>
      <c r="P23" s="42">
        <f t="shared" si="6"/>
        <v>0</v>
      </c>
    </row>
    <row r="24" spans="1:105" x14ac:dyDescent="0.3">
      <c r="A24" s="4" t="s">
        <v>18</v>
      </c>
      <c r="B24" s="13">
        <v>26</v>
      </c>
      <c r="C24" s="4">
        <v>24.3</v>
      </c>
      <c r="D24" s="4">
        <v>20.100000000000001</v>
      </c>
      <c r="E24" s="4">
        <v>12.1</v>
      </c>
      <c r="F24" s="4">
        <v>14.1</v>
      </c>
      <c r="I24" s="16">
        <f t="shared" si="0"/>
        <v>4.1583836331131312E-3</v>
      </c>
      <c r="K24" s="42">
        <f t="shared" si="1"/>
        <v>5.3809060617976369E-3</v>
      </c>
      <c r="L24" s="42">
        <f t="shared" si="2"/>
        <v>5.3153094035041674E-3</v>
      </c>
      <c r="M24" s="42">
        <f t="shared" si="3"/>
        <v>4.4840048186320439E-3</v>
      </c>
      <c r="N24" s="42">
        <f t="shared" si="4"/>
        <v>2.5613344340720983E-3</v>
      </c>
      <c r="O24" s="42">
        <f t="shared" si="5"/>
        <v>3.0503634475597093E-3</v>
      </c>
      <c r="P24" s="42">
        <f t="shared" si="6"/>
        <v>0</v>
      </c>
    </row>
    <row r="25" spans="1:105" x14ac:dyDescent="0.3">
      <c r="A25" s="4" t="s">
        <v>19</v>
      </c>
      <c r="B25" s="13">
        <v>35.200000000000003</v>
      </c>
      <c r="C25" s="4">
        <v>34.200000000000003</v>
      </c>
      <c r="D25" s="4">
        <v>53.4</v>
      </c>
      <c r="E25" s="4">
        <v>59.9</v>
      </c>
      <c r="F25" s="4">
        <v>59.8</v>
      </c>
      <c r="G25" s="41">
        <f>G26-G20-G21</f>
        <v>184.29999999999998</v>
      </c>
      <c r="I25" s="16">
        <f t="shared" si="0"/>
        <v>1.0459024059414967E-2</v>
      </c>
      <c r="K25" s="42">
        <f t="shared" si="1"/>
        <v>7.2849189759721864E-3</v>
      </c>
      <c r="L25" s="42">
        <f t="shared" si="2"/>
        <v>7.4808058271540138E-3</v>
      </c>
      <c r="M25" s="42">
        <f t="shared" si="3"/>
        <v>1.191272921964931E-2</v>
      </c>
      <c r="N25" s="42">
        <f t="shared" si="4"/>
        <v>1.2679663851315593E-2</v>
      </c>
      <c r="O25" s="42">
        <f t="shared" si="5"/>
        <v>1.2937002422983733E-2</v>
      </c>
      <c r="P25" s="42">
        <f t="shared" si="6"/>
        <v>3.5223515471207681E-2</v>
      </c>
    </row>
    <row r="26" spans="1:105" s="2" customFormat="1" x14ac:dyDescent="0.3">
      <c r="A26" s="5" t="s">
        <v>20</v>
      </c>
      <c r="B26" s="5">
        <f>SUM(B20:B25)</f>
        <v>553.90000000000009</v>
      </c>
      <c r="C26" s="5">
        <f>SUM(C20:C25)</f>
        <v>553.30000000000007</v>
      </c>
      <c r="D26" s="5">
        <f t="shared" ref="D26:F26" si="10">SUM(D20:D25)</f>
        <v>609.20000000000005</v>
      </c>
      <c r="E26" s="5">
        <f t="shared" si="10"/>
        <v>703.80000000000007</v>
      </c>
      <c r="F26" s="5">
        <f t="shared" si="10"/>
        <v>686.9</v>
      </c>
      <c r="G26">
        <v>843.8</v>
      </c>
      <c r="H26"/>
      <c r="I26" s="16">
        <f t="shared" si="0"/>
        <v>0.1338295340360704</v>
      </c>
      <c r="J26"/>
      <c r="K26" s="42">
        <f t="shared" si="1"/>
        <v>0.11463399490883507</v>
      </c>
      <c r="L26" s="42">
        <f t="shared" si="2"/>
        <v>0.12102718901065251</v>
      </c>
      <c r="M26" s="42">
        <f t="shared" si="3"/>
        <v>0.13590327042341499</v>
      </c>
      <c r="N26" s="42">
        <f t="shared" si="4"/>
        <v>0.1489807582396647</v>
      </c>
      <c r="O26" s="42">
        <f t="shared" si="5"/>
        <v>0.1486024575977847</v>
      </c>
      <c r="P26" s="42">
        <f t="shared" si="6"/>
        <v>0.1612675114194522</v>
      </c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</row>
    <row r="27" spans="1:105" x14ac:dyDescent="0.3">
      <c r="A27" s="4" t="s">
        <v>21</v>
      </c>
      <c r="B27" s="13">
        <v>1.8</v>
      </c>
      <c r="C27" s="4">
        <v>4.7</v>
      </c>
      <c r="D27" s="4">
        <v>7.6</v>
      </c>
      <c r="E27" s="4">
        <v>10.4</v>
      </c>
      <c r="F27" s="4">
        <v>12.3</v>
      </c>
      <c r="I27" s="16">
        <f t="shared" si="0"/>
        <v>1.5916931421083962E-3</v>
      </c>
      <c r="K27" s="42">
        <f t="shared" si="1"/>
        <v>3.725242658167595E-4</v>
      </c>
      <c r="L27" s="42">
        <f t="shared" si="2"/>
        <v>1.0280639587024521E-3</v>
      </c>
      <c r="M27" s="42">
        <f t="shared" si="3"/>
        <v>1.6954446080399766E-3</v>
      </c>
      <c r="N27" s="42">
        <f t="shared" si="4"/>
        <v>2.2014775301115556E-3</v>
      </c>
      <c r="O27" s="42">
        <f t="shared" si="5"/>
        <v>2.6609553478712362E-3</v>
      </c>
      <c r="P27" s="42">
        <f t="shared" si="6"/>
        <v>0</v>
      </c>
    </row>
    <row r="28" spans="1:105" x14ac:dyDescent="0.3">
      <c r="A28" s="4" t="s">
        <v>15</v>
      </c>
      <c r="B28" s="13">
        <v>2700.1</v>
      </c>
      <c r="C28" s="4">
        <v>2534.1999999999998</v>
      </c>
      <c r="D28" s="4">
        <v>1556.5</v>
      </c>
      <c r="E28" s="4">
        <v>1541.9</v>
      </c>
      <c r="F28" s="4">
        <v>1659.7</v>
      </c>
      <c r="G28" s="15">
        <f>149.8+1538.4</f>
        <v>1688.2</v>
      </c>
      <c r="I28" s="16">
        <f t="shared" si="0"/>
        <v>0.42916161251615448</v>
      </c>
      <c r="K28" s="42">
        <f t="shared" si="1"/>
        <v>0.55880709451768462</v>
      </c>
      <c r="L28" s="42">
        <f t="shared" si="2"/>
        <v>0.55432333705186254</v>
      </c>
      <c r="M28" s="42">
        <f t="shared" si="3"/>
        <v>0.34723151742292419</v>
      </c>
      <c r="N28" s="42">
        <f t="shared" si="4"/>
        <v>0.32639021189221229</v>
      </c>
      <c r="O28" s="42">
        <f t="shared" si="5"/>
        <v>0.35905590169608864</v>
      </c>
      <c r="P28" s="42">
        <f t="shared" si="6"/>
        <v>0.32264969516273906</v>
      </c>
    </row>
    <row r="29" spans="1:105" x14ac:dyDescent="0.3">
      <c r="A29" s="4" t="s">
        <v>22</v>
      </c>
      <c r="B29" s="13">
        <v>263.39999999999998</v>
      </c>
      <c r="C29" s="4">
        <v>227.5</v>
      </c>
      <c r="D29" s="4">
        <v>187.8</v>
      </c>
      <c r="E29" s="4">
        <v>172.5</v>
      </c>
      <c r="F29" s="4">
        <v>132.4</v>
      </c>
      <c r="I29" s="16">
        <f t="shared" si="0"/>
        <v>4.226574746914593E-2</v>
      </c>
      <c r="K29" s="42">
        <f t="shared" si="1"/>
        <v>5.4512717564519135E-2</v>
      </c>
      <c r="L29" s="42">
        <f t="shared" si="2"/>
        <v>4.9762670341448476E-2</v>
      </c>
      <c r="M29" s="42">
        <f t="shared" si="3"/>
        <v>4.1895328603935217E-2</v>
      </c>
      <c r="N29" s="42">
        <f t="shared" si="4"/>
        <v>3.6514891725408012E-2</v>
      </c>
      <c r="O29" s="42">
        <f t="shared" si="5"/>
        <v>2.8643129110418834E-2</v>
      </c>
      <c r="P29" s="42">
        <f t="shared" si="6"/>
        <v>0</v>
      </c>
    </row>
    <row r="30" spans="1:105" x14ac:dyDescent="0.3">
      <c r="A30" s="4" t="s">
        <v>17</v>
      </c>
      <c r="B30" s="13">
        <v>109.3</v>
      </c>
      <c r="C30" s="4">
        <v>107.1</v>
      </c>
      <c r="D30" s="4">
        <v>108.7</v>
      </c>
      <c r="E30" s="4">
        <v>126.3</v>
      </c>
      <c r="F30" s="4">
        <v>131.5</v>
      </c>
      <c r="I30" s="16">
        <f t="shared" si="0"/>
        <v>2.5096046220119218E-2</v>
      </c>
      <c r="K30" s="42">
        <f t="shared" si="1"/>
        <v>2.262050125209545E-2</v>
      </c>
      <c r="L30" s="42">
        <f t="shared" si="2"/>
        <v>2.3426734037666513E-2</v>
      </c>
      <c r="M30" s="42">
        <f t="shared" si="3"/>
        <v>2.4249319591308615E-2</v>
      </c>
      <c r="N30" s="42">
        <f t="shared" si="4"/>
        <v>2.673525115895091E-2</v>
      </c>
      <c r="O30" s="42">
        <f t="shared" si="5"/>
        <v>2.8448425060574597E-2</v>
      </c>
      <c r="P30" s="42">
        <f t="shared" si="6"/>
        <v>0</v>
      </c>
    </row>
    <row r="31" spans="1:105" x14ac:dyDescent="0.3">
      <c r="A31" s="4" t="s">
        <v>18</v>
      </c>
      <c r="B31" s="13">
        <v>18.100000000000001</v>
      </c>
      <c r="C31" s="4">
        <v>18.5</v>
      </c>
      <c r="D31" s="4">
        <v>16.100000000000001</v>
      </c>
      <c r="E31" s="4">
        <v>15.5</v>
      </c>
      <c r="F31" s="4">
        <v>18.5</v>
      </c>
      <c r="I31" s="16">
        <f t="shared" si="0"/>
        <v>3.7335073776952896E-3</v>
      </c>
      <c r="K31" s="42">
        <f t="shared" si="1"/>
        <v>3.7459384507129707E-3</v>
      </c>
      <c r="L31" s="42">
        <f t="shared" si="2"/>
        <v>4.0466347310628434E-3</v>
      </c>
      <c r="M31" s="42">
        <f t="shared" si="3"/>
        <v>3.5916655512425824E-3</v>
      </c>
      <c r="N31" s="42">
        <f t="shared" si="4"/>
        <v>3.2810482419931837E-3</v>
      </c>
      <c r="O31" s="42">
        <f t="shared" si="5"/>
        <v>4.0022499134648674E-3</v>
      </c>
      <c r="P31" s="42">
        <f t="shared" si="6"/>
        <v>0</v>
      </c>
    </row>
    <row r="32" spans="1:105" x14ac:dyDescent="0.3">
      <c r="A32" s="4" t="s">
        <v>23</v>
      </c>
      <c r="B32" s="13">
        <v>85</v>
      </c>
      <c r="C32" s="4">
        <v>89.6</v>
      </c>
      <c r="D32" s="4">
        <v>101.2</v>
      </c>
      <c r="E32" s="4">
        <v>165</v>
      </c>
      <c r="F32" s="4">
        <v>167.4</v>
      </c>
      <c r="G32" s="41">
        <f>130.8+144.7+275.6</f>
        <v>551.1</v>
      </c>
      <c r="I32" s="16">
        <f>P32</f>
        <v>0.10532652944211912</v>
      </c>
      <c r="K32" s="42">
        <f t="shared" si="1"/>
        <v>1.7591423663569198E-2</v>
      </c>
      <c r="L32" s="42">
        <f t="shared" si="2"/>
        <v>1.9598836319093555E-2</v>
      </c>
      <c r="M32" s="42">
        <f t="shared" si="3"/>
        <v>2.2576183464953374E-2</v>
      </c>
      <c r="N32" s="42">
        <f t="shared" si="4"/>
        <v>3.4927287737346796E-2</v>
      </c>
      <c r="O32" s="42">
        <f t="shared" si="5"/>
        <v>3.6214953271028041E-2</v>
      </c>
      <c r="P32" s="42">
        <f t="shared" si="6"/>
        <v>0.10532652944211912</v>
      </c>
    </row>
    <row r="33" spans="1:105" s="2" customFormat="1" x14ac:dyDescent="0.3">
      <c r="A33" s="5" t="s">
        <v>24</v>
      </c>
      <c r="B33" s="5">
        <f>SUM(B27:B32)</f>
        <v>3177.7000000000003</v>
      </c>
      <c r="C33" s="5">
        <f>SUM(C27:C32)</f>
        <v>2981.5999999999995</v>
      </c>
      <c r="D33" s="5">
        <f t="shared" ref="D33:F33" si="11">SUM(D27:D32)</f>
        <v>1977.8999999999999</v>
      </c>
      <c r="E33" s="5">
        <f t="shared" si="11"/>
        <v>2031.6000000000001</v>
      </c>
      <c r="F33" s="5">
        <f t="shared" si="11"/>
        <v>2121.8000000000002</v>
      </c>
      <c r="G33" s="41">
        <f>G28+G32</f>
        <v>2239.3000000000002</v>
      </c>
      <c r="H33"/>
      <c r="I33" s="16">
        <f t="shared" si="0"/>
        <v>0.52803034361642143</v>
      </c>
      <c r="J33"/>
      <c r="K33" s="42">
        <f t="shared" si="1"/>
        <v>0.6576501997143982</v>
      </c>
      <c r="L33" s="42">
        <f t="shared" si="2"/>
        <v>0.65218627643983629</v>
      </c>
      <c r="M33" s="42">
        <f t="shared" si="3"/>
        <v>0.44123945924240388</v>
      </c>
      <c r="N33" s="42">
        <f t="shared" si="4"/>
        <v>0.43005016828602272</v>
      </c>
      <c r="O33" s="42">
        <f t="shared" si="5"/>
        <v>0.45902561439944622</v>
      </c>
      <c r="P33" s="42">
        <f t="shared" si="6"/>
        <v>0.42797622460485824</v>
      </c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</row>
    <row r="34" spans="1:105" s="2" customFormat="1" ht="15.6" x14ac:dyDescent="0.3">
      <c r="A34" s="7" t="s">
        <v>25</v>
      </c>
      <c r="B34" s="5">
        <f>+B26+B33</f>
        <v>3731.6000000000004</v>
      </c>
      <c r="C34" s="5">
        <f>+C26+C33</f>
        <v>3534.8999999999996</v>
      </c>
      <c r="D34" s="5">
        <f t="shared" ref="D34:F34" si="12">+D26+D33</f>
        <v>2587.1</v>
      </c>
      <c r="E34" s="5">
        <f t="shared" si="12"/>
        <v>2735.4</v>
      </c>
      <c r="F34" s="5">
        <f t="shared" si="12"/>
        <v>2808.7000000000003</v>
      </c>
      <c r="G34" s="41">
        <f>G33+G26</f>
        <v>3083.1000000000004</v>
      </c>
      <c r="H34"/>
      <c r="I34" s="16">
        <f t="shared" si="0"/>
        <v>0.66185987765249188</v>
      </c>
      <c r="J34"/>
      <c r="K34" s="42">
        <f t="shared" si="1"/>
        <v>0.77228419462323328</v>
      </c>
      <c r="L34" s="42">
        <f t="shared" si="2"/>
        <v>0.77321346545048886</v>
      </c>
      <c r="M34" s="42">
        <f t="shared" si="3"/>
        <v>0.57714272966581892</v>
      </c>
      <c r="N34" s="42">
        <f t="shared" si="4"/>
        <v>0.57903092652568744</v>
      </c>
      <c r="O34" s="42">
        <f t="shared" si="5"/>
        <v>0.60762807199723101</v>
      </c>
      <c r="P34" s="42">
        <f t="shared" si="6"/>
        <v>0.58924373602431046</v>
      </c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</row>
    <row r="35" spans="1:105" x14ac:dyDescent="0.3">
      <c r="A35" s="4" t="s">
        <v>26</v>
      </c>
      <c r="B35" s="13">
        <v>1155.5999999999999</v>
      </c>
      <c r="C35" s="4">
        <v>1156.3</v>
      </c>
      <c r="D35" s="4">
        <v>2.8</v>
      </c>
      <c r="E35" s="4">
        <v>2.8</v>
      </c>
      <c r="F35" s="4">
        <v>2.8</v>
      </c>
      <c r="G35" s="15">
        <v>3</v>
      </c>
      <c r="I35" s="16"/>
      <c r="K35" s="42">
        <f t="shared" si="1"/>
        <v>0.23916057865435958</v>
      </c>
      <c r="L35" s="42">
        <f t="shared" si="2"/>
        <v>0.25292560754205218</v>
      </c>
      <c r="M35" s="42">
        <f t="shared" si="3"/>
        <v>6.2463748717262292E-4</v>
      </c>
      <c r="N35" s="42">
        <f t="shared" si="4"/>
        <v>5.9270548887618802E-4</v>
      </c>
      <c r="O35" s="42">
        <f t="shared" si="5"/>
        <v>6.0574593284873661E-4</v>
      </c>
      <c r="P35" s="42">
        <f t="shared" si="6"/>
        <v>5.7336161917321247E-4</v>
      </c>
    </row>
    <row r="36" spans="1:105" x14ac:dyDescent="0.3">
      <c r="A36" s="4" t="s">
        <v>43</v>
      </c>
      <c r="B36" s="13">
        <v>0</v>
      </c>
      <c r="C36" s="4">
        <v>0</v>
      </c>
      <c r="D36" s="4">
        <v>2158.8000000000002</v>
      </c>
      <c r="E36" s="4">
        <v>2059.8000000000002</v>
      </c>
      <c r="F36" s="4">
        <v>1945</v>
      </c>
      <c r="G36" s="15">
        <v>2140</v>
      </c>
      <c r="I36" s="16">
        <f t="shared" si="0"/>
        <v>0.26767842947758741</v>
      </c>
      <c r="K36" s="42">
        <f t="shared" si="1"/>
        <v>0</v>
      </c>
      <c r="L36" s="42">
        <f t="shared" si="2"/>
        <v>0</v>
      </c>
      <c r="M36" s="42">
        <f t="shared" si="3"/>
        <v>0.48159550261009237</v>
      </c>
      <c r="N36" s="42">
        <f t="shared" si="4"/>
        <v>0.4360195592811329</v>
      </c>
      <c r="O36" s="42">
        <f t="shared" si="5"/>
        <v>0.42077708549671172</v>
      </c>
      <c r="P36" s="42">
        <f t="shared" si="6"/>
        <v>0.40899795501022485</v>
      </c>
    </row>
    <row r="37" spans="1:105" x14ac:dyDescent="0.3">
      <c r="A37" s="4" t="s">
        <v>27</v>
      </c>
      <c r="B37" s="13">
        <v>-88.8</v>
      </c>
      <c r="C37" s="4">
        <v>-81.5</v>
      </c>
      <c r="D37" s="4">
        <v>-142.1</v>
      </c>
      <c r="E37" s="4">
        <v>-82.1</v>
      </c>
      <c r="F37" s="4">
        <v>-220.7</v>
      </c>
      <c r="G37" s="15">
        <v>-198.5</v>
      </c>
      <c r="I37" s="16">
        <f t="shared" si="0"/>
        <v>-2.6606002841335286E-2</v>
      </c>
      <c r="K37" s="42">
        <f t="shared" si="1"/>
        <v>-1.8377863780293466E-2</v>
      </c>
      <c r="L37" s="42">
        <f t="shared" si="2"/>
        <v>-1.78270665179255E-2</v>
      </c>
      <c r="M37" s="42">
        <f t="shared" si="3"/>
        <v>-3.1700352474010617E-2</v>
      </c>
      <c r="N37" s="42">
        <f t="shared" si="4"/>
        <v>-1.7378971655976797E-2</v>
      </c>
      <c r="O37" s="42">
        <f t="shared" si="5"/>
        <v>-4.7745759778470058E-2</v>
      </c>
      <c r="P37" s="42">
        <f t="shared" si="6"/>
        <v>-3.7937427135294223E-2</v>
      </c>
    </row>
    <row r="38" spans="1:105" x14ac:dyDescent="0.3">
      <c r="A38" s="4" t="s">
        <v>44</v>
      </c>
      <c r="B38" s="13">
        <v>0</v>
      </c>
      <c r="C38" s="4">
        <v>0</v>
      </c>
      <c r="D38" s="4">
        <v>0</v>
      </c>
      <c r="E38" s="4">
        <v>-0.1</v>
      </c>
      <c r="F38" s="4">
        <v>-0.1</v>
      </c>
      <c r="G38" s="13">
        <v>0.1</v>
      </c>
      <c r="I38" s="16">
        <f t="shared" si="0"/>
        <v>-8.5603672980351764E-6</v>
      </c>
      <c r="K38" s="42">
        <f t="shared" si="1"/>
        <v>0</v>
      </c>
      <c r="L38" s="42">
        <f t="shared" si="2"/>
        <v>0</v>
      </c>
      <c r="M38" s="42">
        <f t="shared" si="3"/>
        <v>0</v>
      </c>
      <c r="N38" s="42">
        <f t="shared" si="4"/>
        <v>-2.1168053174149574E-5</v>
      </c>
      <c r="O38" s="42">
        <f t="shared" si="5"/>
        <v>-2.1633783316026308E-5</v>
      </c>
      <c r="P38" s="42">
        <f t="shared" si="6"/>
        <v>1.9112053972440415E-5</v>
      </c>
    </row>
    <row r="39" spans="1:105" x14ac:dyDescent="0.3">
      <c r="A39" s="4" t="s">
        <v>28</v>
      </c>
      <c r="B39" s="13">
        <v>33.5</v>
      </c>
      <c r="C39" s="4">
        <v>-38</v>
      </c>
      <c r="D39" s="4">
        <v>-124</v>
      </c>
      <c r="E39" s="4">
        <v>8.3000000000000007</v>
      </c>
      <c r="F39" s="4">
        <v>86.7</v>
      </c>
      <c r="G39" s="15">
        <v>204.8</v>
      </c>
      <c r="I39" s="16">
        <f t="shared" si="0"/>
        <v>-1.7055989425077695E-3</v>
      </c>
      <c r="K39" s="42">
        <f t="shared" si="1"/>
        <v>6.9330905027008014E-3</v>
      </c>
      <c r="L39" s="42">
        <f t="shared" si="2"/>
        <v>-8.3120064746155693E-3</v>
      </c>
      <c r="M39" s="42">
        <f t="shared" si="3"/>
        <v>-2.7662517289073305E-2</v>
      </c>
      <c r="N39" s="42">
        <f t="shared" si="4"/>
        <v>1.7569484134544145E-3</v>
      </c>
      <c r="O39" s="42">
        <f t="shared" si="5"/>
        <v>1.8756490134994811E-2</v>
      </c>
      <c r="P39" s="42">
        <f t="shared" si="6"/>
        <v>3.9141486535557969E-2</v>
      </c>
    </row>
    <row r="40" spans="1:105" s="2" customFormat="1" x14ac:dyDescent="0.3">
      <c r="A40" s="5" t="s">
        <v>29</v>
      </c>
      <c r="B40" s="5">
        <f>SUM(B35:B39)</f>
        <v>1100.3</v>
      </c>
      <c r="C40" s="5">
        <f t="shared" ref="C40:F40" si="13">SUM(C35:C39)</f>
        <v>1036.8</v>
      </c>
      <c r="D40" s="5">
        <f t="shared" si="13"/>
        <v>1895.5000000000005</v>
      </c>
      <c r="E40" s="5">
        <f t="shared" si="13"/>
        <v>1988.7000000000005</v>
      </c>
      <c r="F40" s="5">
        <f t="shared" si="13"/>
        <v>1813.7</v>
      </c>
      <c r="G40" s="14">
        <f>SUM(G35:G39)</f>
        <v>2149.4</v>
      </c>
      <c r="H40"/>
      <c r="I40" s="16">
        <f t="shared" si="0"/>
        <v>0.33814012234750818</v>
      </c>
      <c r="J40"/>
      <c r="K40" s="42">
        <f t="shared" si="1"/>
        <v>0.22771580537676692</v>
      </c>
      <c r="L40" s="42">
        <f t="shared" si="2"/>
        <v>0.22678653454951112</v>
      </c>
      <c r="M40" s="42">
        <f t="shared" si="3"/>
        <v>0.42285727033418113</v>
      </c>
      <c r="N40" s="42">
        <f t="shared" si="4"/>
        <v>0.42096907347431262</v>
      </c>
      <c r="O40" s="42">
        <f t="shared" si="5"/>
        <v>0.39237192800276915</v>
      </c>
      <c r="P40" s="42">
        <f t="shared" si="6"/>
        <v>0.41079448808363428</v>
      </c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</row>
    <row r="41" spans="1:105" s="2" customFormat="1" ht="17.399999999999999" x14ac:dyDescent="0.35">
      <c r="A41" s="6" t="s">
        <v>30</v>
      </c>
      <c r="B41" s="7">
        <f>+B34+B40</f>
        <v>4831.9000000000005</v>
      </c>
      <c r="C41" s="7">
        <f t="shared" ref="C41:F41" si="14">+C34+C40</f>
        <v>4571.7</v>
      </c>
      <c r="D41" s="7">
        <f t="shared" si="14"/>
        <v>4482.6000000000004</v>
      </c>
      <c r="E41" s="7">
        <f t="shared" si="14"/>
        <v>4724.1000000000004</v>
      </c>
      <c r="F41" s="7">
        <f t="shared" si="14"/>
        <v>4622.4000000000005</v>
      </c>
      <c r="G41" s="41">
        <f>G40+G34</f>
        <v>5232.5</v>
      </c>
      <c r="H41"/>
      <c r="I41" s="16">
        <f t="shared" si="0"/>
        <v>1</v>
      </c>
      <c r="J41"/>
      <c r="K41" s="42">
        <f t="shared" si="1"/>
        <v>1.0000000000000002</v>
      </c>
      <c r="L41" s="42">
        <f t="shared" si="2"/>
        <v>1</v>
      </c>
      <c r="M41" s="42">
        <f t="shared" si="3"/>
        <v>1</v>
      </c>
      <c r="N41" s="42">
        <f t="shared" si="4"/>
        <v>1</v>
      </c>
      <c r="O41" s="42">
        <f t="shared" si="5"/>
        <v>1.0000000000000002</v>
      </c>
      <c r="P41" s="42">
        <f t="shared" si="6"/>
        <v>1.0000382241079446</v>
      </c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</row>
    <row r="42" spans="1:105" x14ac:dyDescent="0.3">
      <c r="A42" s="4"/>
    </row>
    <row r="43" spans="1:105" x14ac:dyDescent="0.3">
      <c r="A43" s="4" t="s">
        <v>277</v>
      </c>
    </row>
    <row r="44" spans="1:105" x14ac:dyDescent="0.3">
      <c r="A44" s="4" t="s">
        <v>278</v>
      </c>
    </row>
    <row r="45" spans="1:105" x14ac:dyDescent="0.3">
      <c r="B45" s="26"/>
      <c r="C45" s="26"/>
      <c r="D45" s="26"/>
      <c r="E45" s="26"/>
      <c r="F45" s="26"/>
    </row>
  </sheetData>
  <mergeCells count="2">
    <mergeCell ref="A1:F1"/>
    <mergeCell ref="K1:P1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98BAC-093A-4634-8F25-8A137475D1CF}">
  <sheetPr>
    <tabColor rgb="FFFF0000"/>
  </sheetPr>
  <dimension ref="A1:F53"/>
  <sheetViews>
    <sheetView zoomScale="93" zoomScaleNormal="93" workbookViewId="0">
      <selection activeCell="A14" sqref="A14"/>
    </sheetView>
  </sheetViews>
  <sheetFormatPr defaultRowHeight="14.4" x14ac:dyDescent="0.3"/>
  <cols>
    <col min="1" max="1" width="66" style="4" bestFit="1" customWidth="1"/>
    <col min="2" max="3" width="8.6640625" style="4" bestFit="1" customWidth="1"/>
    <col min="4" max="4" width="10.33203125" style="4" bestFit="1" customWidth="1"/>
    <col min="5" max="5" width="9.109375" style="4"/>
    <col min="6" max="6" width="10.33203125" style="4" bestFit="1" customWidth="1"/>
  </cols>
  <sheetData>
    <row r="1" spans="1:6" ht="25.8" x14ac:dyDescent="0.5">
      <c r="A1" s="131" t="s">
        <v>45</v>
      </c>
      <c r="B1" s="131"/>
      <c r="C1" s="131"/>
      <c r="D1" s="131"/>
      <c r="E1" s="131"/>
      <c r="F1" s="131"/>
    </row>
    <row r="2" spans="1:6" x14ac:dyDescent="0.3">
      <c r="A2" s="15"/>
    </row>
    <row r="3" spans="1:6" ht="21.6" thickBot="1" x14ac:dyDescent="0.45">
      <c r="A3" s="9" t="s">
        <v>67</v>
      </c>
      <c r="B3" s="11" t="s">
        <v>31</v>
      </c>
      <c r="C3" s="11" t="s">
        <v>32</v>
      </c>
      <c r="D3" s="11" t="s">
        <v>33</v>
      </c>
      <c r="E3" s="11" t="s">
        <v>34</v>
      </c>
      <c r="F3" s="11" t="s">
        <v>35</v>
      </c>
    </row>
    <row r="4" spans="1:6" x14ac:dyDescent="0.3">
      <c r="A4" s="17" t="s">
        <v>68</v>
      </c>
    </row>
    <row r="5" spans="1:6" x14ac:dyDescent="0.3">
      <c r="A5" s="4" t="s">
        <v>113</v>
      </c>
      <c r="B5" s="4">
        <v>-39.9</v>
      </c>
      <c r="C5" s="4">
        <v>-96.9</v>
      </c>
      <c r="D5" s="4">
        <v>-83.9</v>
      </c>
      <c r="E5" s="4">
        <v>106.9</v>
      </c>
      <c r="F5" s="4">
        <v>68</v>
      </c>
    </row>
    <row r="6" spans="1:6" x14ac:dyDescent="0.3">
      <c r="A6" s="4" t="s">
        <v>69</v>
      </c>
    </row>
    <row r="7" spans="1:6" x14ac:dyDescent="0.3">
      <c r="A7" s="4" t="s">
        <v>70</v>
      </c>
      <c r="B7" s="4">
        <v>262.10000000000002</v>
      </c>
      <c r="C7" s="4">
        <v>265.89999999999998</v>
      </c>
      <c r="D7" s="4">
        <v>271.7</v>
      </c>
      <c r="E7" s="4">
        <v>287.10000000000002</v>
      </c>
      <c r="F7" s="4">
        <v>277.7</v>
      </c>
    </row>
    <row r="8" spans="1:6" x14ac:dyDescent="0.3">
      <c r="A8" s="4" t="s">
        <v>71</v>
      </c>
      <c r="B8" s="4">
        <v>0</v>
      </c>
      <c r="C8" s="4">
        <v>1.9</v>
      </c>
      <c r="D8" s="4">
        <v>0.6</v>
      </c>
      <c r="E8" s="4">
        <v>2.8</v>
      </c>
      <c r="F8" s="4">
        <v>43.9</v>
      </c>
    </row>
    <row r="9" spans="1:6" x14ac:dyDescent="0.3">
      <c r="A9" s="4" t="s">
        <v>72</v>
      </c>
      <c r="B9" s="4">
        <v>-0.9</v>
      </c>
      <c r="C9" s="4">
        <v>-5.2</v>
      </c>
      <c r="D9" s="4">
        <v>23.1</v>
      </c>
      <c r="E9" s="4">
        <v>-10.1</v>
      </c>
      <c r="F9" s="4">
        <v>-23.2</v>
      </c>
    </row>
    <row r="10" spans="1:6" x14ac:dyDescent="0.3">
      <c r="A10" s="4" t="s">
        <v>104</v>
      </c>
      <c r="D10" s="4">
        <v>0</v>
      </c>
      <c r="E10" s="4">
        <v>1.8</v>
      </c>
      <c r="F10" s="4">
        <v>3.2</v>
      </c>
    </row>
    <row r="11" spans="1:6" x14ac:dyDescent="0.3">
      <c r="A11" s="4" t="s">
        <v>73</v>
      </c>
      <c r="B11" s="4">
        <v>-1.4</v>
      </c>
      <c r="C11" s="4">
        <v>-0.3</v>
      </c>
      <c r="D11" s="4">
        <v>-0.9</v>
      </c>
      <c r="E11" s="4">
        <v>-0.3</v>
      </c>
      <c r="F11" s="4">
        <v>-0.2</v>
      </c>
    </row>
    <row r="12" spans="1:6" x14ac:dyDescent="0.3">
      <c r="A12" s="4" t="s">
        <v>115</v>
      </c>
      <c r="B12" s="4">
        <v>-21.4</v>
      </c>
      <c r="C12" s="4">
        <v>-18.8</v>
      </c>
      <c r="D12" s="4">
        <v>-8.9</v>
      </c>
      <c r="E12" s="4">
        <v>-15.4</v>
      </c>
      <c r="F12" s="4">
        <v>-17.399999999999999</v>
      </c>
    </row>
    <row r="13" spans="1:6" x14ac:dyDescent="0.3">
      <c r="A13" s="4" t="s">
        <v>105</v>
      </c>
      <c r="B13" s="4">
        <v>0</v>
      </c>
      <c r="C13" s="4">
        <v>0</v>
      </c>
      <c r="D13" s="4">
        <v>7.4</v>
      </c>
      <c r="E13" s="4">
        <v>0</v>
      </c>
      <c r="F13" s="4">
        <v>0</v>
      </c>
    </row>
    <row r="14" spans="1:6" x14ac:dyDescent="0.3">
      <c r="A14" s="4" t="s">
        <v>57</v>
      </c>
      <c r="B14" s="4">
        <v>165</v>
      </c>
      <c r="C14" s="4">
        <v>238.7</v>
      </c>
      <c r="D14" s="4">
        <v>206.4</v>
      </c>
      <c r="E14" s="4">
        <v>44.6</v>
      </c>
      <c r="F14" s="4">
        <v>81</v>
      </c>
    </row>
    <row r="15" spans="1:6" x14ac:dyDescent="0.3">
      <c r="A15" s="4" t="s">
        <v>74</v>
      </c>
      <c r="B15" s="4">
        <v>-153.4</v>
      </c>
      <c r="C15" s="4">
        <v>-143.6</v>
      </c>
      <c r="D15" s="4">
        <v>-133</v>
      </c>
      <c r="E15" s="4">
        <v>-43</v>
      </c>
      <c r="F15" s="4">
        <v>-39</v>
      </c>
    </row>
    <row r="16" spans="1:6" x14ac:dyDescent="0.3">
      <c r="A16" s="4" t="s">
        <v>106</v>
      </c>
      <c r="B16" s="4">
        <v>0</v>
      </c>
      <c r="C16" s="4">
        <v>0</v>
      </c>
      <c r="D16" s="4">
        <v>-29.7</v>
      </c>
      <c r="E16" s="4">
        <v>0</v>
      </c>
      <c r="F16" s="4">
        <v>-15.4</v>
      </c>
    </row>
    <row r="17" spans="1:6" x14ac:dyDescent="0.3">
      <c r="A17" s="4" t="s">
        <v>107</v>
      </c>
      <c r="B17" s="4">
        <v>0</v>
      </c>
      <c r="C17" s="4">
        <v>0</v>
      </c>
      <c r="D17" s="4">
        <v>-26.2</v>
      </c>
      <c r="E17" s="4">
        <v>0</v>
      </c>
      <c r="F17" s="4">
        <v>0</v>
      </c>
    </row>
    <row r="18" spans="1:6" x14ac:dyDescent="0.3">
      <c r="A18" s="4" t="s">
        <v>58</v>
      </c>
      <c r="B18" s="4">
        <v>34.9</v>
      </c>
      <c r="C18" s="4">
        <v>26.2</v>
      </c>
      <c r="D18" s="4">
        <v>0.9</v>
      </c>
      <c r="E18" s="4">
        <v>41.1</v>
      </c>
      <c r="F18" s="4">
        <v>23</v>
      </c>
    </row>
    <row r="19" spans="1:6" x14ac:dyDescent="0.3">
      <c r="A19" s="4" t="s">
        <v>75</v>
      </c>
      <c r="B19" s="4">
        <v>-65.599999999999994</v>
      </c>
      <c r="C19" s="4">
        <v>-72.900000000000006</v>
      </c>
      <c r="D19" s="4">
        <v>-59</v>
      </c>
      <c r="E19" s="4">
        <v>-56.6</v>
      </c>
      <c r="F19" s="4">
        <v>-76.2</v>
      </c>
    </row>
    <row r="20" spans="1:6" x14ac:dyDescent="0.3">
      <c r="A20" s="12"/>
      <c r="B20" s="5">
        <f>SUM(B5:B19)</f>
        <v>179.4</v>
      </c>
      <c r="C20" s="5">
        <f>SUM(C5:C19)</f>
        <v>194.99999999999997</v>
      </c>
      <c r="D20" s="5">
        <f t="shared" ref="D20:F20" si="0">SUM(D5:D19)</f>
        <v>168.50000000000003</v>
      </c>
      <c r="E20" s="5">
        <f t="shared" si="0"/>
        <v>358.90000000000003</v>
      </c>
      <c r="F20" s="5">
        <f t="shared" si="0"/>
        <v>325.40000000000003</v>
      </c>
    </row>
    <row r="21" spans="1:6" x14ac:dyDescent="0.3">
      <c r="A21" s="4" t="s">
        <v>76</v>
      </c>
      <c r="B21" s="4">
        <v>-56.6</v>
      </c>
      <c r="C21" s="4">
        <v>-21</v>
      </c>
      <c r="D21" s="4">
        <v>37.799999999999997</v>
      </c>
      <c r="E21" s="4">
        <v>-11.3</v>
      </c>
      <c r="F21" s="4">
        <v>32.6</v>
      </c>
    </row>
    <row r="22" spans="1:6" x14ac:dyDescent="0.3">
      <c r="A22" s="4" t="s">
        <v>77</v>
      </c>
      <c r="B22" s="4">
        <v>17.8</v>
      </c>
      <c r="C22" s="4">
        <v>-5</v>
      </c>
      <c r="D22" s="4">
        <v>-22.9</v>
      </c>
      <c r="E22" s="4">
        <v>-9.3000000000000007</v>
      </c>
      <c r="F22" s="4">
        <v>-11.8</v>
      </c>
    </row>
    <row r="23" spans="1:6" x14ac:dyDescent="0.3">
      <c r="A23" s="4" t="s">
        <v>78</v>
      </c>
      <c r="B23" s="4">
        <v>36.1</v>
      </c>
      <c r="C23" s="4">
        <v>42.2</v>
      </c>
      <c r="D23" s="4">
        <v>34.6</v>
      </c>
      <c r="E23" s="4">
        <v>31.7</v>
      </c>
      <c r="F23" s="4">
        <v>26.9</v>
      </c>
    </row>
    <row r="24" spans="1:6" x14ac:dyDescent="0.3">
      <c r="A24" s="4" t="s">
        <v>79</v>
      </c>
      <c r="B24" s="4">
        <v>48</v>
      </c>
      <c r="C24" s="4">
        <v>4.7</v>
      </c>
      <c r="D24" s="4">
        <v>1.1000000000000001</v>
      </c>
      <c r="E24" s="4">
        <v>0.9</v>
      </c>
      <c r="F24" s="4">
        <v>12.9</v>
      </c>
    </row>
    <row r="25" spans="1:6" x14ac:dyDescent="0.3">
      <c r="A25" s="4" t="s">
        <v>80</v>
      </c>
      <c r="B25" s="4">
        <v>14.7</v>
      </c>
      <c r="C25" s="4">
        <v>30.8</v>
      </c>
      <c r="D25" s="4">
        <v>41.1</v>
      </c>
      <c r="E25" s="4">
        <v>67.2</v>
      </c>
      <c r="F25" s="4">
        <v>39.799999999999997</v>
      </c>
    </row>
    <row r="26" spans="1:6" x14ac:dyDescent="0.3">
      <c r="A26" s="5" t="s">
        <v>81</v>
      </c>
      <c r="B26" s="5">
        <f>SUM(B20:B25)</f>
        <v>239.4</v>
      </c>
      <c r="C26" s="5">
        <f t="shared" ref="C26:F26" si="1">SUM(C20:C25)</f>
        <v>246.7</v>
      </c>
      <c r="D26" s="5">
        <f t="shared" si="1"/>
        <v>260.2</v>
      </c>
      <c r="E26" s="5">
        <f t="shared" si="1"/>
        <v>438.09999999999997</v>
      </c>
      <c r="F26" s="5">
        <f t="shared" si="1"/>
        <v>425.8</v>
      </c>
    </row>
    <row r="27" spans="1:6" x14ac:dyDescent="0.3">
      <c r="A27" s="17" t="s">
        <v>82</v>
      </c>
    </row>
    <row r="28" spans="1:6" x14ac:dyDescent="0.3">
      <c r="A28" s="4" t="s">
        <v>83</v>
      </c>
      <c r="B28" s="4">
        <v>-150</v>
      </c>
      <c r="C28" s="4">
        <v>-10</v>
      </c>
      <c r="D28" s="4">
        <v>0</v>
      </c>
      <c r="E28" s="4">
        <v>-40.5</v>
      </c>
      <c r="F28" s="4">
        <v>-2.5</v>
      </c>
    </row>
    <row r="29" spans="1:6" x14ac:dyDescent="0.3">
      <c r="A29" s="4" t="s">
        <v>116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</row>
    <row r="30" spans="1:6" x14ac:dyDescent="0.3">
      <c r="A30" s="4" t="s">
        <v>84</v>
      </c>
      <c r="B30" s="4">
        <v>-186.4</v>
      </c>
      <c r="C30" s="4">
        <v>-212.3</v>
      </c>
      <c r="D30" s="4">
        <v>-213.9</v>
      </c>
      <c r="E30" s="4">
        <v>-182.2</v>
      </c>
      <c r="F30" s="4">
        <v>-199.2</v>
      </c>
    </row>
    <row r="31" spans="1:6" x14ac:dyDescent="0.3">
      <c r="A31" s="4" t="s">
        <v>85</v>
      </c>
      <c r="B31" s="4">
        <v>4.2</v>
      </c>
      <c r="C31" s="4">
        <v>0.9</v>
      </c>
      <c r="D31" s="4">
        <v>15.9</v>
      </c>
      <c r="E31" s="4">
        <v>4.2</v>
      </c>
      <c r="F31" s="4">
        <v>0.7</v>
      </c>
    </row>
    <row r="32" spans="1:6" x14ac:dyDescent="0.3">
      <c r="A32" s="4" t="s">
        <v>86</v>
      </c>
      <c r="B32" s="4">
        <v>19.3</v>
      </c>
      <c r="C32" s="4">
        <v>25</v>
      </c>
      <c r="D32" s="4">
        <v>23.7</v>
      </c>
      <c r="E32" s="4">
        <v>20.7</v>
      </c>
      <c r="F32" s="4">
        <v>22.7</v>
      </c>
    </row>
    <row r="33" spans="1:6" x14ac:dyDescent="0.3">
      <c r="A33" s="4" t="s">
        <v>108</v>
      </c>
      <c r="B33" s="4">
        <v>0</v>
      </c>
      <c r="C33" s="4">
        <v>0</v>
      </c>
      <c r="D33" s="4">
        <v>-0.6</v>
      </c>
      <c r="E33" s="4">
        <v>0</v>
      </c>
      <c r="F33" s="4">
        <v>0</v>
      </c>
    </row>
    <row r="34" spans="1:6" x14ac:dyDescent="0.3">
      <c r="A34" s="4" t="s">
        <v>87</v>
      </c>
      <c r="B34" s="4">
        <v>1.8</v>
      </c>
      <c r="C34" s="4">
        <v>1</v>
      </c>
      <c r="D34" s="4">
        <v>1.2</v>
      </c>
      <c r="E34" s="4">
        <v>0.5</v>
      </c>
      <c r="F34" s="4">
        <v>2.1</v>
      </c>
    </row>
    <row r="35" spans="1:6" x14ac:dyDescent="0.3">
      <c r="A35" s="5" t="s">
        <v>88</v>
      </c>
      <c r="B35" s="5">
        <f>SUM(B28:B34)</f>
        <v>-311.09999999999997</v>
      </c>
      <c r="C35" s="5">
        <f t="shared" ref="C35:F35" si="2">SUM(C28:C34)</f>
        <v>-195.4</v>
      </c>
      <c r="D35" s="5">
        <f t="shared" si="2"/>
        <v>-173.70000000000002</v>
      </c>
      <c r="E35" s="5">
        <f t="shared" si="2"/>
        <v>-197.3</v>
      </c>
      <c r="F35" s="5">
        <f t="shared" si="2"/>
        <v>-176.20000000000002</v>
      </c>
    </row>
    <row r="36" spans="1:6" x14ac:dyDescent="0.3">
      <c r="A36" s="17" t="s">
        <v>89</v>
      </c>
    </row>
    <row r="37" spans="1:6" x14ac:dyDescent="0.3">
      <c r="A37" s="4" t="s">
        <v>109</v>
      </c>
      <c r="B37" s="4">
        <v>0</v>
      </c>
      <c r="C37" s="4">
        <v>0</v>
      </c>
      <c r="D37" s="4">
        <v>1600</v>
      </c>
      <c r="E37" s="4">
        <v>0</v>
      </c>
      <c r="F37" s="4">
        <v>1550</v>
      </c>
    </row>
    <row r="38" spans="1:6" x14ac:dyDescent="0.3">
      <c r="A38" s="4" t="s">
        <v>110</v>
      </c>
      <c r="B38" s="4">
        <v>0</v>
      </c>
      <c r="C38" s="4">
        <v>0</v>
      </c>
      <c r="D38" s="4">
        <v>1043.9000000000001</v>
      </c>
      <c r="E38" s="4">
        <v>0</v>
      </c>
      <c r="F38" s="4">
        <v>0</v>
      </c>
    </row>
    <row r="39" spans="1:6" x14ac:dyDescent="0.3">
      <c r="A39" s="4" t="s">
        <v>90</v>
      </c>
      <c r="B39" s="4">
        <v>-2.8</v>
      </c>
      <c r="C39" s="4">
        <v>-1.5</v>
      </c>
      <c r="D39" s="4">
        <v>0</v>
      </c>
      <c r="E39" s="4">
        <v>0</v>
      </c>
      <c r="F39" s="4">
        <v>0</v>
      </c>
    </row>
    <row r="40" spans="1:6" x14ac:dyDescent="0.3">
      <c r="A40" s="4" t="s">
        <v>114</v>
      </c>
      <c r="B40" s="4">
        <v>0</v>
      </c>
      <c r="C40" s="4">
        <v>0</v>
      </c>
      <c r="D40" s="4">
        <v>-42.6</v>
      </c>
      <c r="E40" s="4">
        <v>-3.4</v>
      </c>
      <c r="F40" s="4">
        <v>0</v>
      </c>
    </row>
    <row r="41" spans="1:6" x14ac:dyDescent="0.3">
      <c r="A41" s="4" t="s">
        <v>91</v>
      </c>
      <c r="B41" s="4">
        <v>-54.9</v>
      </c>
      <c r="C41" s="4">
        <v>-67.900000000000006</v>
      </c>
      <c r="D41" s="4">
        <v>-2637</v>
      </c>
      <c r="E41" s="4">
        <v>-31.3</v>
      </c>
      <c r="F41" s="4">
        <v>-1560.9</v>
      </c>
    </row>
    <row r="42" spans="1:6" x14ac:dyDescent="0.3">
      <c r="A42" s="4" t="s">
        <v>92</v>
      </c>
      <c r="B42" s="4">
        <v>0</v>
      </c>
      <c r="C42" s="4">
        <v>-1.3</v>
      </c>
      <c r="D42" s="4">
        <v>-1.8</v>
      </c>
      <c r="E42" s="4">
        <v>-9.8000000000000007</v>
      </c>
      <c r="F42" s="4">
        <v>-16.100000000000001</v>
      </c>
    </row>
    <row r="43" spans="1:6" x14ac:dyDescent="0.3">
      <c r="A43" s="4" t="s">
        <v>93</v>
      </c>
      <c r="B43" s="4">
        <v>0</v>
      </c>
      <c r="C43" s="4">
        <v>13.1</v>
      </c>
      <c r="D43" s="4">
        <v>0</v>
      </c>
      <c r="E43" s="4">
        <v>0</v>
      </c>
      <c r="F43" s="4">
        <v>0</v>
      </c>
    </row>
    <row r="44" spans="1:6" x14ac:dyDescent="0.3">
      <c r="A44" s="4" t="s">
        <v>94</v>
      </c>
      <c r="B44" s="4">
        <v>0.6</v>
      </c>
      <c r="C44" s="4">
        <v>0.7</v>
      </c>
      <c r="D44" s="4">
        <v>0</v>
      </c>
      <c r="E44" s="4">
        <v>0</v>
      </c>
      <c r="F44" s="4">
        <v>0</v>
      </c>
    </row>
    <row r="45" spans="1:6" x14ac:dyDescent="0.3">
      <c r="A45" s="4" t="s">
        <v>111</v>
      </c>
      <c r="B45" s="4">
        <v>0</v>
      </c>
      <c r="C45" s="4">
        <v>0</v>
      </c>
      <c r="D45" s="4">
        <v>0</v>
      </c>
      <c r="E45" s="4">
        <v>-0.5</v>
      </c>
      <c r="F45" s="4">
        <v>-0.6</v>
      </c>
    </row>
    <row r="46" spans="1:6" x14ac:dyDescent="0.3">
      <c r="A46" s="4" t="s">
        <v>112</v>
      </c>
      <c r="B46" s="4">
        <v>0</v>
      </c>
      <c r="C46" s="4">
        <v>0</v>
      </c>
      <c r="D46" s="4">
        <v>0</v>
      </c>
      <c r="E46" s="4">
        <v>-99</v>
      </c>
      <c r="F46" s="4">
        <v>-114.8</v>
      </c>
    </row>
    <row r="47" spans="1:6" x14ac:dyDescent="0.3">
      <c r="A47" s="4" t="s">
        <v>95</v>
      </c>
      <c r="B47" s="4">
        <v>0</v>
      </c>
      <c r="C47" s="4">
        <v>-4.9000000000000004</v>
      </c>
      <c r="D47" s="4">
        <v>2.9</v>
      </c>
      <c r="E47" s="4">
        <v>4.5999999999999996</v>
      </c>
      <c r="F47" s="4">
        <v>1.1000000000000001</v>
      </c>
    </row>
    <row r="48" spans="1:6" x14ac:dyDescent="0.3">
      <c r="A48" s="5" t="s">
        <v>96</v>
      </c>
      <c r="B48" s="5">
        <f>SUM(B37:B47)</f>
        <v>-57.099999999999994</v>
      </c>
      <c r="C48" s="5">
        <f t="shared" ref="C48:F48" si="3">SUM(C37:C47)</f>
        <v>-61.8</v>
      </c>
      <c r="D48" s="5">
        <f t="shared" si="3"/>
        <v>-34.599999999999817</v>
      </c>
      <c r="E48" s="5">
        <f t="shared" si="3"/>
        <v>-139.4</v>
      </c>
      <c r="F48" s="5">
        <f t="shared" si="3"/>
        <v>-141.3000000000001</v>
      </c>
    </row>
    <row r="49" spans="1:6" ht="29.25" customHeight="1" x14ac:dyDescent="0.3">
      <c r="A49" s="20" t="s">
        <v>97</v>
      </c>
      <c r="B49" s="17">
        <f t="shared" ref="B49:F49" si="4">+B26+B35+B48</f>
        <v>-128.79999999999995</v>
      </c>
      <c r="C49" s="17">
        <f t="shared" si="4"/>
        <v>-10.500000000000014</v>
      </c>
      <c r="D49" s="17">
        <f t="shared" si="4"/>
        <v>51.900000000000155</v>
      </c>
      <c r="E49" s="17">
        <f t="shared" si="4"/>
        <v>101.39999999999995</v>
      </c>
      <c r="F49" s="17">
        <f t="shared" si="4"/>
        <v>108.2999999999999</v>
      </c>
    </row>
    <row r="50" spans="1:6" x14ac:dyDescent="0.3">
      <c r="A50" s="4" t="s">
        <v>98</v>
      </c>
      <c r="B50" s="4">
        <v>251.3</v>
      </c>
      <c r="C50" s="4">
        <v>123.7</v>
      </c>
      <c r="D50" s="4">
        <v>103.9</v>
      </c>
      <c r="E50" s="4">
        <v>157.1</v>
      </c>
      <c r="F50" s="4">
        <v>261</v>
      </c>
    </row>
    <row r="51" spans="1:6" x14ac:dyDescent="0.3">
      <c r="A51" s="4" t="s">
        <v>99</v>
      </c>
      <c r="B51" s="4">
        <v>1.2</v>
      </c>
      <c r="C51" s="4">
        <v>-9.3000000000000007</v>
      </c>
      <c r="D51" s="4">
        <v>1.3</v>
      </c>
      <c r="E51" s="4">
        <v>2.5</v>
      </c>
      <c r="F51" s="4">
        <v>-14.2</v>
      </c>
    </row>
    <row r="52" spans="1:6" ht="15.6" x14ac:dyDescent="0.3">
      <c r="A52" s="7" t="s">
        <v>100</v>
      </c>
      <c r="B52" s="7">
        <f>SUM(B49:B51)</f>
        <v>123.70000000000006</v>
      </c>
      <c r="C52" s="7">
        <f>SUM(C49:C51)</f>
        <v>103.89999999999999</v>
      </c>
      <c r="D52" s="7">
        <f>SUM(D49:D51)</f>
        <v>157.10000000000016</v>
      </c>
      <c r="E52" s="7">
        <f>SUM(E49:E51)</f>
        <v>260.99999999999994</v>
      </c>
      <c r="F52" s="7">
        <f t="shared" ref="F52" si="5">SUM(F49:F51)</f>
        <v>355.09999999999991</v>
      </c>
    </row>
    <row r="53" spans="1:6" x14ac:dyDescent="0.3">
      <c r="A53" s="18"/>
    </row>
  </sheetData>
  <mergeCells count="1">
    <mergeCell ref="A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9E76A-BF36-43D4-93D1-5E245AC38FC2}">
  <sheetPr>
    <tabColor rgb="FFFF0000"/>
  </sheetPr>
  <dimension ref="A2:J29"/>
  <sheetViews>
    <sheetView zoomScale="85" zoomScaleNormal="85" workbookViewId="0">
      <selection activeCell="I7" sqref="I7"/>
    </sheetView>
  </sheetViews>
  <sheetFormatPr defaultRowHeight="14.4" x14ac:dyDescent="0.3"/>
  <cols>
    <col min="1" max="1" width="36.6640625" customWidth="1"/>
    <col min="8" max="8" width="25.109375" customWidth="1"/>
    <col min="9" max="9" width="17.88671875" customWidth="1"/>
  </cols>
  <sheetData>
    <row r="2" spans="1:10" ht="28.8" x14ac:dyDescent="0.3">
      <c r="A2" s="52" t="s">
        <v>198</v>
      </c>
      <c r="B2" s="52" t="str">
        <f>'[1]HISTORICAL BS'!H4</f>
        <v>FY 2016</v>
      </c>
      <c r="C2" s="52" t="str">
        <f>'[1]HISTORICAL BS'!I4</f>
        <v>FY 2017</v>
      </c>
      <c r="D2" s="52" t="str">
        <f>'[1]HISTORICAL BS'!J4</f>
        <v>FY 2018</v>
      </c>
      <c r="E2" s="52" t="str">
        <f>'[1]HISTORICAL BS'!K4</f>
        <v>FY 2019</v>
      </c>
      <c r="F2" s="52" t="str">
        <f>'[1]HISTORICAL BS'!L4</f>
        <v>FY 2020</v>
      </c>
      <c r="G2" s="52" t="str">
        <f>'[1]HISTORICAL BS'!M4</f>
        <v>FY 2021</v>
      </c>
      <c r="H2" s="52" t="s">
        <v>139</v>
      </c>
      <c r="I2" s="53" t="s">
        <v>199</v>
      </c>
    </row>
    <row r="3" spans="1:10" x14ac:dyDescent="0.3">
      <c r="A3" s="44" t="s">
        <v>200</v>
      </c>
      <c r="B3" s="44"/>
      <c r="C3" s="44"/>
      <c r="D3" s="44"/>
      <c r="E3" s="44"/>
      <c r="F3" s="44"/>
      <c r="G3" s="44"/>
      <c r="H3" s="44"/>
      <c r="I3" s="44"/>
    </row>
    <row r="4" spans="1:10" x14ac:dyDescent="0.3">
      <c r="A4" s="44" t="s">
        <v>201</v>
      </c>
      <c r="B4" s="44"/>
      <c r="C4" s="44"/>
      <c r="D4" s="44"/>
      <c r="E4" s="44"/>
      <c r="F4" s="44"/>
      <c r="G4" s="44"/>
      <c r="H4" s="44"/>
      <c r="I4" s="44"/>
    </row>
    <row r="5" spans="1:10" x14ac:dyDescent="0.3">
      <c r="A5" s="44" t="s">
        <v>202</v>
      </c>
      <c r="B5" s="44">
        <f>'Historical BS'!B5</f>
        <v>293.39999999999998</v>
      </c>
      <c r="C5" s="44">
        <f>'Historical BS'!C5</f>
        <v>287.3</v>
      </c>
      <c r="D5" s="44">
        <f>'Historical BS'!D5</f>
        <v>242.7</v>
      </c>
      <c r="E5" s="44">
        <f>'Historical BS'!E5</f>
        <v>271.60000000000002</v>
      </c>
      <c r="F5" s="44">
        <f>'Historical BS'!F5</f>
        <v>222</v>
      </c>
      <c r="G5" s="44">
        <f>'Historical BS'!G5</f>
        <v>250.1</v>
      </c>
      <c r="H5" s="44"/>
      <c r="I5" s="44"/>
    </row>
    <row r="6" spans="1:10" s="56" customFormat="1" x14ac:dyDescent="0.3">
      <c r="A6" s="54" t="s">
        <v>203</v>
      </c>
      <c r="B6" s="55">
        <f>B5/'Historical IS'!B4*365</f>
        <v>62.124956491472325</v>
      </c>
      <c r="C6" s="55">
        <f>C5/'Historical IS'!C4*365</f>
        <v>63.015744246139057</v>
      </c>
      <c r="D6" s="55">
        <f>D5/'Historical IS'!D4*365</f>
        <v>52.852156792554148</v>
      </c>
      <c r="E6" s="55">
        <f>E5/'Historical IS'!E4*365</f>
        <v>55.571500644654968</v>
      </c>
      <c r="F6" s="55">
        <f>F5/'Historical IS'!F4*365</f>
        <v>44.617587137272182</v>
      </c>
      <c r="G6" s="55">
        <f>G5/'Historical IS'!G4*365</f>
        <v>47.498048805869189</v>
      </c>
      <c r="H6" s="54" t="s">
        <v>215</v>
      </c>
      <c r="I6" s="55">
        <v>46.06</v>
      </c>
      <c r="J6" s="126">
        <f>AVERAGE(F6:G6)</f>
        <v>46.057817971570685</v>
      </c>
    </row>
    <row r="7" spans="1:10" x14ac:dyDescent="0.3">
      <c r="A7" s="44" t="s">
        <v>204</v>
      </c>
      <c r="B7" s="44">
        <f>'Historical BS'!B6</f>
        <v>125.6</v>
      </c>
      <c r="C7" s="44">
        <f>'Historical BS'!C6</f>
        <v>122.4</v>
      </c>
      <c r="D7" s="44">
        <f>'Historical BS'!D6</f>
        <v>144.4</v>
      </c>
      <c r="E7" s="44">
        <f>'Historical BS'!E6</f>
        <v>167.2</v>
      </c>
      <c r="F7" s="44">
        <f>'Historical BS'!F6</f>
        <v>170.7</v>
      </c>
      <c r="G7" s="44">
        <f>'Historical BS'!G6</f>
        <v>214</v>
      </c>
      <c r="H7" s="44"/>
      <c r="I7" s="44"/>
    </row>
    <row r="8" spans="1:10" s="56" customFormat="1" x14ac:dyDescent="0.3">
      <c r="A8" s="54" t="s">
        <v>205</v>
      </c>
      <c r="B8" s="55">
        <f>B7/-'Historical IS'!B6*365</f>
        <v>34.502897569052458</v>
      </c>
      <c r="C8" s="55">
        <f>C7/-'Historical IS'!C6*365</f>
        <v>35.020772908991141</v>
      </c>
      <c r="D8" s="55">
        <f>D7/-'Historical IS'!D6*365</f>
        <v>40.533722987003003</v>
      </c>
      <c r="E8" s="55">
        <f>E7/-'Historical IS'!E6*365</f>
        <v>44.54273410699949</v>
      </c>
      <c r="F8" s="55">
        <f>F7/-'Historical IS'!F6*365</f>
        <v>43.8092392068626</v>
      </c>
      <c r="G8" s="55">
        <f>G7/'Historical IS'!G6*365</f>
        <v>53.063858695652179</v>
      </c>
      <c r="H8" s="54" t="s">
        <v>215</v>
      </c>
      <c r="I8" s="55">
        <f>AVERAGE(B8:F8)</f>
        <v>39.68187335578174</v>
      </c>
    </row>
    <row r="9" spans="1:10" x14ac:dyDescent="0.3">
      <c r="A9" s="44" t="s">
        <v>206</v>
      </c>
      <c r="B9" s="44">
        <f>'Historical BS'!B8</f>
        <v>17.100000000000001</v>
      </c>
      <c r="C9" s="44">
        <f>'Historical BS'!C8</f>
        <v>28.2</v>
      </c>
      <c r="D9" s="44">
        <f>'Historical BS'!D8</f>
        <v>19.2</v>
      </c>
      <c r="E9" s="44">
        <f>'Historical BS'!E8</f>
        <v>22.2</v>
      </c>
      <c r="F9" s="44">
        <f>'Historical BS'!F8</f>
        <v>28.5</v>
      </c>
      <c r="G9" s="44">
        <f>'Historical BS'!G8</f>
        <v>61.7</v>
      </c>
      <c r="H9" s="44"/>
      <c r="I9" s="44"/>
    </row>
    <row r="10" spans="1:10" s="56" customFormat="1" x14ac:dyDescent="0.3">
      <c r="A10" s="54" t="s">
        <v>145</v>
      </c>
      <c r="B10" s="57">
        <f>B9/'Historical IS'!B4</f>
        <v>9.9199443090845808E-3</v>
      </c>
      <c r="C10" s="57">
        <f>C9/'Historical IS'!C4</f>
        <v>1.694609698936362E-2</v>
      </c>
      <c r="D10" s="57">
        <f>D9/'Historical IS'!D4</f>
        <v>1.1455163773044568E-2</v>
      </c>
      <c r="E10" s="57">
        <f>E9/'Historical IS'!E4</f>
        <v>1.2444643758058186E-2</v>
      </c>
      <c r="F10" s="57">
        <f>F9/'Historical IS'!F4</f>
        <v>1.569296844887396E-2</v>
      </c>
      <c r="G10" s="57">
        <f>G9/'Historical IS'!G4</f>
        <v>3.2103647432228523E-2</v>
      </c>
      <c r="H10" s="54" t="s">
        <v>216</v>
      </c>
      <c r="I10" s="57">
        <f>AVERAGE(B10:F10)</f>
        <v>1.3291763455684983E-2</v>
      </c>
    </row>
    <row r="11" spans="1:10" x14ac:dyDescent="0.3">
      <c r="A11" s="44" t="s">
        <v>208</v>
      </c>
      <c r="B11" s="44">
        <f t="shared" ref="B11" si="0">B5+B7+B9</f>
        <v>436.1</v>
      </c>
      <c r="C11" s="44">
        <f t="shared" ref="C11:G11" si="1">C5+C7+C9</f>
        <v>437.90000000000003</v>
      </c>
      <c r="D11" s="44">
        <f t="shared" si="1"/>
        <v>406.3</v>
      </c>
      <c r="E11" s="44">
        <f t="shared" si="1"/>
        <v>461</v>
      </c>
      <c r="F11" s="44">
        <f t="shared" si="1"/>
        <v>421.2</v>
      </c>
      <c r="G11" s="44">
        <f t="shared" si="1"/>
        <v>525.80000000000007</v>
      </c>
      <c r="H11" s="44"/>
      <c r="I11" s="44"/>
    </row>
    <row r="12" spans="1:10" x14ac:dyDescent="0.3">
      <c r="A12" s="44"/>
      <c r="B12" s="44"/>
      <c r="C12" s="44"/>
      <c r="D12" s="44"/>
      <c r="E12" s="44"/>
      <c r="F12" s="44"/>
      <c r="G12" s="44"/>
      <c r="H12" s="44"/>
      <c r="I12" s="44"/>
    </row>
    <row r="13" spans="1:10" x14ac:dyDescent="0.3">
      <c r="A13" s="44" t="s">
        <v>209</v>
      </c>
      <c r="B13" s="44"/>
      <c r="C13" s="44"/>
      <c r="D13" s="44"/>
      <c r="E13" s="44"/>
      <c r="F13" s="44"/>
      <c r="G13" s="44"/>
      <c r="H13" s="44"/>
      <c r="I13" s="44"/>
    </row>
    <row r="14" spans="1:10" x14ac:dyDescent="0.3">
      <c r="A14" s="44" t="s">
        <v>210</v>
      </c>
      <c r="B14" s="44">
        <f>'Historical BS'!B20</f>
        <v>386.7</v>
      </c>
      <c r="C14" s="44">
        <f>'Historical BS'!C20</f>
        <v>410.1</v>
      </c>
      <c r="D14" s="44">
        <f>'Historical BS'!D20</f>
        <v>440.6</v>
      </c>
      <c r="E14" s="44">
        <f>'Historical BS'!E20</f>
        <v>492.3</v>
      </c>
      <c r="F14" s="44">
        <f>'Historical BS'!F20</f>
        <v>501.2</v>
      </c>
      <c r="G14" s="44">
        <f>'Historical BS'!G20</f>
        <v>530.9</v>
      </c>
      <c r="H14" s="44"/>
      <c r="I14" s="44"/>
    </row>
    <row r="15" spans="1:10" s="56" customFormat="1" x14ac:dyDescent="0.3">
      <c r="A15" s="54" t="s">
        <v>211</v>
      </c>
      <c r="B15" s="55">
        <f>B14/-'Historical IS'!B6*365</f>
        <v>106.22826823210656</v>
      </c>
      <c r="C15" s="55">
        <f>C14/-'Historical IS'!C6*365</f>
        <v>117.33675629066396</v>
      </c>
      <c r="D15" s="55">
        <f>D14/-'Historical IS'!D6*365</f>
        <v>123.67838191186651</v>
      </c>
      <c r="E15" s="55">
        <f>E14/-'Historical IS'!E6*365</f>
        <v>131.15064593825269</v>
      </c>
      <c r="F15" s="55">
        <f>F14/-'Historical IS'!F6*365</f>
        <v>128.63029109829841</v>
      </c>
      <c r="G15" s="55">
        <f>G14/'Historical IS'!G6*365</f>
        <v>131.64300271739131</v>
      </c>
      <c r="H15" s="54" t="s">
        <v>215</v>
      </c>
      <c r="I15" s="55">
        <f>AVERAGE(B15:F15)</f>
        <v>121.40486869423762</v>
      </c>
    </row>
    <row r="16" spans="1:10" hidden="1" x14ac:dyDescent="0.3">
      <c r="A16" s="44" t="s">
        <v>212</v>
      </c>
      <c r="B16" s="44"/>
      <c r="C16" s="44"/>
      <c r="D16" s="44"/>
      <c r="E16" s="44"/>
      <c r="F16" s="44"/>
      <c r="G16" s="44"/>
      <c r="H16" s="44"/>
      <c r="I16" s="44"/>
    </row>
    <row r="17" spans="1:9" s="56" customFormat="1" hidden="1" x14ac:dyDescent="0.3">
      <c r="A17" s="54" t="s">
        <v>145</v>
      </c>
      <c r="B17" s="57">
        <f>B16/'Historical IS'!B4</f>
        <v>0</v>
      </c>
      <c r="C17" s="57">
        <f>C16/'Historical IS'!C4</f>
        <v>0</v>
      </c>
      <c r="D17" s="57">
        <f>D16/'Historical IS'!D4</f>
        <v>0</v>
      </c>
      <c r="E17" s="57">
        <f>E16/'Historical IS'!E4</f>
        <v>0</v>
      </c>
      <c r="F17" s="57">
        <f>F16/'Historical IS'!F4</f>
        <v>0</v>
      </c>
      <c r="G17" s="57">
        <f>G16/'Historical IS'!G4</f>
        <v>0</v>
      </c>
      <c r="H17" s="54" t="s">
        <v>207</v>
      </c>
      <c r="I17" s="57">
        <v>0</v>
      </c>
    </row>
    <row r="18" spans="1:9" x14ac:dyDescent="0.3">
      <c r="A18" s="44" t="s">
        <v>213</v>
      </c>
      <c r="B18" s="44">
        <f t="shared" ref="B18" si="2">B14+B16</f>
        <v>386.7</v>
      </c>
      <c r="C18" s="44">
        <f t="shared" ref="C18:G18" si="3">C14+C16</f>
        <v>410.1</v>
      </c>
      <c r="D18" s="44">
        <f t="shared" si="3"/>
        <v>440.6</v>
      </c>
      <c r="E18" s="44">
        <f t="shared" si="3"/>
        <v>492.3</v>
      </c>
      <c r="F18" s="44">
        <f t="shared" si="3"/>
        <v>501.2</v>
      </c>
      <c r="G18" s="44">
        <f t="shared" si="3"/>
        <v>530.9</v>
      </c>
      <c r="H18" s="44"/>
      <c r="I18" s="44"/>
    </row>
    <row r="19" spans="1:9" x14ac:dyDescent="0.3">
      <c r="A19" s="44"/>
      <c r="B19" s="44"/>
      <c r="C19" s="44"/>
      <c r="D19" s="44"/>
      <c r="E19" s="44"/>
      <c r="F19" s="44"/>
      <c r="G19" s="44"/>
      <c r="H19" s="44"/>
      <c r="I19" s="44"/>
    </row>
    <row r="20" spans="1:9" x14ac:dyDescent="0.3">
      <c r="A20" s="44" t="s">
        <v>214</v>
      </c>
      <c r="B20" s="44">
        <f t="shared" ref="B20:G20" si="4">B11-B18</f>
        <v>49.400000000000034</v>
      </c>
      <c r="C20" s="44">
        <f t="shared" si="4"/>
        <v>27.800000000000011</v>
      </c>
      <c r="D20" s="44">
        <f t="shared" si="4"/>
        <v>-34.300000000000011</v>
      </c>
      <c r="E20" s="44">
        <f t="shared" si="4"/>
        <v>-31.300000000000011</v>
      </c>
      <c r="F20" s="44">
        <f t="shared" si="4"/>
        <v>-80</v>
      </c>
      <c r="G20" s="44">
        <f t="shared" si="4"/>
        <v>-5.0999999999999091</v>
      </c>
      <c r="H20" s="44"/>
      <c r="I20" s="44"/>
    </row>
    <row r="21" spans="1:9" x14ac:dyDescent="0.3">
      <c r="G21">
        <v>75</v>
      </c>
    </row>
    <row r="23" spans="1:9" x14ac:dyDescent="0.3">
      <c r="A23" t="s">
        <v>76</v>
      </c>
      <c r="C23">
        <v>-21</v>
      </c>
      <c r="D23">
        <v>37.799999999999997</v>
      </c>
      <c r="E23">
        <v>-11.3</v>
      </c>
      <c r="F23">
        <v>32.6</v>
      </c>
    </row>
    <row r="24" spans="1:9" x14ac:dyDescent="0.3">
      <c r="A24" t="s">
        <v>279</v>
      </c>
      <c r="C24">
        <v>-5</v>
      </c>
      <c r="D24">
        <v>-22.9</v>
      </c>
      <c r="E24">
        <v>-9.3000000000000007</v>
      </c>
      <c r="F24">
        <v>-11.8</v>
      </c>
    </row>
    <row r="25" spans="1:9" x14ac:dyDescent="0.3">
      <c r="B25">
        <f t="shared" ref="B25:E25" si="5">SUM(B23:B24)</f>
        <v>0</v>
      </c>
      <c r="C25">
        <f t="shared" si="5"/>
        <v>-26</v>
      </c>
      <c r="D25">
        <f t="shared" si="5"/>
        <v>14.899999999999999</v>
      </c>
      <c r="E25">
        <f t="shared" si="5"/>
        <v>-20.6</v>
      </c>
      <c r="F25">
        <f>SUM(F23:F24)</f>
        <v>20.8</v>
      </c>
    </row>
    <row r="26" spans="1:9" x14ac:dyDescent="0.3">
      <c r="A26" t="s">
        <v>280</v>
      </c>
      <c r="C26">
        <v>42.2</v>
      </c>
      <c r="D26">
        <v>34.6</v>
      </c>
      <c r="E26">
        <v>31.7</v>
      </c>
      <c r="F26">
        <v>26.9</v>
      </c>
    </row>
    <row r="27" spans="1:9" x14ac:dyDescent="0.3">
      <c r="A27" t="s">
        <v>281</v>
      </c>
      <c r="C27">
        <v>30.8</v>
      </c>
      <c r="D27">
        <v>41.1</v>
      </c>
      <c r="E27">
        <v>67.2</v>
      </c>
      <c r="F27">
        <v>39.799999999999997</v>
      </c>
    </row>
    <row r="28" spans="1:9" x14ac:dyDescent="0.3">
      <c r="B28">
        <f t="shared" ref="B28:E28" si="6">SUM(B26:B27)</f>
        <v>0</v>
      </c>
      <c r="C28">
        <f t="shared" si="6"/>
        <v>73</v>
      </c>
      <c r="D28">
        <f t="shared" si="6"/>
        <v>75.7</v>
      </c>
      <c r="E28">
        <f t="shared" si="6"/>
        <v>98.9</v>
      </c>
      <c r="F28">
        <f>SUM(F26:F27)</f>
        <v>66.699999999999989</v>
      </c>
    </row>
    <row r="29" spans="1:9" x14ac:dyDescent="0.3">
      <c r="A29" t="s">
        <v>282</v>
      </c>
      <c r="C29">
        <f t="shared" ref="C29:D29" si="7">C25-C28</f>
        <v>-99</v>
      </c>
      <c r="D29">
        <f t="shared" si="7"/>
        <v>-60.800000000000004</v>
      </c>
      <c r="E29">
        <f>E25-E28</f>
        <v>-119.5</v>
      </c>
      <c r="F29">
        <f>F25-F28</f>
        <v>-45.899999999999991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8C46B-37C9-4BF2-B870-5DA63C29568B}">
  <dimension ref="A1:G52"/>
  <sheetViews>
    <sheetView tabSelected="1" zoomScale="85" zoomScaleNormal="85" workbookViewId="0">
      <selection activeCell="D24" sqref="D24"/>
    </sheetView>
  </sheetViews>
  <sheetFormatPr defaultRowHeight="14.4" x14ac:dyDescent="0.3"/>
  <cols>
    <col min="1" max="1" width="8.88671875" style="49"/>
    <col min="2" max="2" width="16.6640625" customWidth="1"/>
    <col min="3" max="3" width="58.109375" customWidth="1"/>
    <col min="4" max="4" width="9.77734375" bestFit="1" customWidth="1"/>
    <col min="5" max="5" width="98.33203125" customWidth="1"/>
  </cols>
  <sheetData>
    <row r="1" spans="1:7" x14ac:dyDescent="0.3">
      <c r="A1" s="132"/>
      <c r="B1" s="132"/>
      <c r="C1" s="132"/>
      <c r="D1" s="132"/>
      <c r="E1" s="132"/>
    </row>
    <row r="2" spans="1:7" ht="18" x14ac:dyDescent="0.35">
      <c r="A2" s="43" t="s">
        <v>155</v>
      </c>
      <c r="B2" s="43" t="s">
        <v>156</v>
      </c>
      <c r="C2" s="43" t="s">
        <v>157</v>
      </c>
      <c r="D2" s="43" t="s">
        <v>158</v>
      </c>
      <c r="E2" s="43" t="s">
        <v>159</v>
      </c>
      <c r="G2">
        <f xml:space="preserve"> 1472.5+1.1*(1816.1-1301.9)</f>
        <v>2038.12</v>
      </c>
    </row>
    <row r="3" spans="1:7" x14ac:dyDescent="0.3">
      <c r="A3" s="135" t="s">
        <v>160</v>
      </c>
      <c r="B3" s="135"/>
      <c r="C3" s="135"/>
      <c r="D3" s="135"/>
      <c r="E3" s="135"/>
    </row>
    <row r="4" spans="1:7" ht="14.4" customHeight="1" x14ac:dyDescent="0.3">
      <c r="A4" s="44">
        <v>1</v>
      </c>
      <c r="B4" s="45" t="s">
        <v>161</v>
      </c>
      <c r="C4" s="47" t="s">
        <v>184</v>
      </c>
      <c r="D4" s="51">
        <f>2038.12/'Historical IS'!F4-1</f>
        <v>0.12225097736908763</v>
      </c>
      <c r="E4" s="47" t="s">
        <v>249</v>
      </c>
      <c r="G4">
        <f>2040/'Historical IS'!F4</f>
        <v>1.1232861626562414</v>
      </c>
    </row>
    <row r="5" spans="1:7" ht="14.4" customHeight="1" x14ac:dyDescent="0.3">
      <c r="A5" s="44">
        <v>2</v>
      </c>
      <c r="C5" s="47" t="s">
        <v>248</v>
      </c>
      <c r="D5" s="46">
        <v>6.5000000000000002E-2</v>
      </c>
      <c r="E5" s="45" t="s">
        <v>194</v>
      </c>
    </row>
    <row r="6" spans="1:7" x14ac:dyDescent="0.3">
      <c r="A6" s="44">
        <v>3</v>
      </c>
      <c r="B6" s="45"/>
      <c r="C6" s="45" t="s">
        <v>195</v>
      </c>
      <c r="D6" s="46">
        <v>0.04</v>
      </c>
      <c r="E6" s="45" t="s">
        <v>196</v>
      </c>
    </row>
    <row r="7" spans="1:7" x14ac:dyDescent="0.3">
      <c r="A7" s="44">
        <v>4</v>
      </c>
      <c r="B7" s="45" t="s">
        <v>162</v>
      </c>
      <c r="C7" s="45" t="s">
        <v>250</v>
      </c>
      <c r="D7" s="46">
        <f>'Historical IS'!I7</f>
        <v>0.7728659314385059</v>
      </c>
      <c r="E7" s="45"/>
    </row>
    <row r="8" spans="1:7" x14ac:dyDescent="0.3">
      <c r="A8" s="44">
        <v>5</v>
      </c>
      <c r="B8" t="s">
        <v>197</v>
      </c>
      <c r="C8" s="45" t="s">
        <v>250</v>
      </c>
      <c r="D8" s="46">
        <f>'Historical IS'!I15</f>
        <v>0.1331198505080127</v>
      </c>
      <c r="E8" s="45"/>
    </row>
    <row r="9" spans="1:7" x14ac:dyDescent="0.3">
      <c r="A9" s="44">
        <v>6</v>
      </c>
      <c r="B9" s="45" t="s">
        <v>163</v>
      </c>
      <c r="C9" s="45" t="s">
        <v>250</v>
      </c>
      <c r="D9" s="46">
        <f>'Historical IS'!I19</f>
        <v>1.7014412820646235E-2</v>
      </c>
      <c r="E9" s="45"/>
    </row>
    <row r="10" spans="1:7" x14ac:dyDescent="0.3">
      <c r="A10" s="44">
        <v>7</v>
      </c>
      <c r="B10" s="45" t="s">
        <v>164</v>
      </c>
      <c r="C10" s="45" t="s">
        <v>250</v>
      </c>
      <c r="D10" s="46">
        <f>'Historical IS'!I22</f>
        <v>0.25274725274725296</v>
      </c>
      <c r="E10" s="45"/>
    </row>
    <row r="11" spans="1:7" x14ac:dyDescent="0.3">
      <c r="A11" s="135" t="s">
        <v>165</v>
      </c>
      <c r="B11" s="135"/>
      <c r="C11" s="135"/>
      <c r="D11" s="135"/>
      <c r="E11" s="135"/>
    </row>
    <row r="12" spans="1:7" x14ac:dyDescent="0.3">
      <c r="A12" s="44">
        <v>8</v>
      </c>
      <c r="B12" s="45" t="s">
        <v>166</v>
      </c>
      <c r="C12" s="45" t="s">
        <v>215</v>
      </c>
      <c r="D12" s="48">
        <f>'Historical WC Movment'!I6</f>
        <v>46.06</v>
      </c>
      <c r="E12" s="136" t="s">
        <v>167</v>
      </c>
    </row>
    <row r="13" spans="1:7" x14ac:dyDescent="0.3">
      <c r="A13" s="44">
        <v>9</v>
      </c>
      <c r="B13" s="45" t="s">
        <v>168</v>
      </c>
      <c r="C13" s="45" t="s">
        <v>215</v>
      </c>
      <c r="D13" s="48">
        <f>'Historical WC Movment'!I8</f>
        <v>39.68187335578174</v>
      </c>
      <c r="E13" s="136"/>
    </row>
    <row r="14" spans="1:7" x14ac:dyDescent="0.3">
      <c r="A14" s="44">
        <v>10</v>
      </c>
      <c r="B14" s="45" t="s">
        <v>169</v>
      </c>
      <c r="C14" s="45" t="s">
        <v>215</v>
      </c>
      <c r="D14" s="48">
        <f>'Historical WC Movment'!I15</f>
        <v>121.40486869423762</v>
      </c>
      <c r="E14" s="136"/>
    </row>
    <row r="15" spans="1:7" x14ac:dyDescent="0.3">
      <c r="A15" s="44">
        <v>11</v>
      </c>
      <c r="B15" s="45" t="s">
        <v>170</v>
      </c>
      <c r="C15" s="45" t="s">
        <v>254</v>
      </c>
      <c r="D15" s="46"/>
      <c r="E15" s="45" t="s">
        <v>171</v>
      </c>
    </row>
    <row r="16" spans="1:7" x14ac:dyDescent="0.3">
      <c r="A16" s="44">
        <v>12</v>
      </c>
      <c r="B16" s="45" t="s">
        <v>172</v>
      </c>
      <c r="C16" s="45" t="s">
        <v>254</v>
      </c>
      <c r="D16" s="46"/>
      <c r="E16" s="45" t="s">
        <v>173</v>
      </c>
    </row>
    <row r="17" spans="1:5" x14ac:dyDescent="0.3">
      <c r="A17" s="135" t="s">
        <v>174</v>
      </c>
      <c r="B17" s="135"/>
      <c r="C17" s="135"/>
      <c r="D17" s="135"/>
      <c r="E17" s="135"/>
    </row>
    <row r="18" spans="1:5" x14ac:dyDescent="0.3">
      <c r="A18" s="44">
        <v>13</v>
      </c>
      <c r="B18" s="45" t="s">
        <v>175</v>
      </c>
      <c r="C18" s="45" t="s">
        <v>176</v>
      </c>
      <c r="D18" s="124">
        <f>DCF!C15</f>
        <v>10365.665154324603</v>
      </c>
      <c r="E18" s="45" t="s">
        <v>276</v>
      </c>
    </row>
    <row r="19" spans="1:5" ht="28.8" x14ac:dyDescent="0.3">
      <c r="A19" s="44">
        <v>14</v>
      </c>
      <c r="B19" s="45" t="s">
        <v>177</v>
      </c>
      <c r="C19" s="47" t="s">
        <v>178</v>
      </c>
      <c r="D19" s="124">
        <f>DCF!C17</f>
        <v>1683.7</v>
      </c>
      <c r="E19" s="45"/>
    </row>
    <row r="20" spans="1:5" x14ac:dyDescent="0.3">
      <c r="A20" s="44">
        <v>15</v>
      </c>
      <c r="B20" s="45" t="s">
        <v>179</v>
      </c>
      <c r="C20" s="45" t="s">
        <v>180</v>
      </c>
      <c r="D20" s="46">
        <v>5.1999999999999998E-2</v>
      </c>
      <c r="E20" s="45"/>
    </row>
    <row r="21" spans="1:5" x14ac:dyDescent="0.3">
      <c r="A21" s="44">
        <v>16</v>
      </c>
      <c r="B21" s="45" t="s">
        <v>181</v>
      </c>
      <c r="C21" s="45" t="s">
        <v>243</v>
      </c>
      <c r="D21" s="46">
        <f>64.96 / 1908.98</f>
        <v>3.4028643568816852E-2</v>
      </c>
      <c r="E21" s="45"/>
    </row>
    <row r="22" spans="1:5" x14ac:dyDescent="0.3">
      <c r="A22" s="44">
        <v>17</v>
      </c>
      <c r="B22" s="45" t="s">
        <v>182</v>
      </c>
      <c r="C22" s="45" t="s">
        <v>183</v>
      </c>
      <c r="D22" s="46">
        <f>D10</f>
        <v>0.25274725274725296</v>
      </c>
      <c r="E22" s="45"/>
    </row>
    <row r="23" spans="1:5" ht="15.6" x14ac:dyDescent="0.3">
      <c r="A23" s="120">
        <v>18</v>
      </c>
      <c r="B23" s="121" t="s">
        <v>267</v>
      </c>
      <c r="C23" s="45"/>
      <c r="D23" s="115">
        <v>5.7000000000000002E-2</v>
      </c>
      <c r="E23" s="45"/>
    </row>
    <row r="24" spans="1:5" ht="15.6" x14ac:dyDescent="0.3">
      <c r="A24" s="120">
        <v>19</v>
      </c>
      <c r="B24" s="121" t="s">
        <v>268</v>
      </c>
      <c r="C24" s="45"/>
      <c r="D24" s="116">
        <v>0.01</v>
      </c>
      <c r="E24" s="45"/>
    </row>
    <row r="25" spans="1:5" ht="15.6" x14ac:dyDescent="0.3">
      <c r="A25" s="120">
        <v>20</v>
      </c>
      <c r="B25" s="121" t="s">
        <v>164</v>
      </c>
      <c r="C25" s="45"/>
      <c r="D25" s="116">
        <v>0.25274725274725274</v>
      </c>
      <c r="E25" s="45"/>
    </row>
    <row r="26" spans="1:5" ht="15.6" x14ac:dyDescent="0.3">
      <c r="A26" s="120">
        <v>21</v>
      </c>
      <c r="B26" s="121" t="s">
        <v>269</v>
      </c>
      <c r="C26" s="45"/>
      <c r="D26" s="117">
        <v>1.6E-2</v>
      </c>
      <c r="E26" s="45"/>
    </row>
    <row r="27" spans="1:5" ht="15.6" x14ac:dyDescent="0.3">
      <c r="A27" s="120">
        <v>22</v>
      </c>
      <c r="B27" s="121" t="s">
        <v>270</v>
      </c>
      <c r="C27" s="45"/>
      <c r="D27" s="118">
        <f>D24+D28*(D23)</f>
        <v>6.1870000000000008E-2</v>
      </c>
      <c r="E27" s="45"/>
    </row>
    <row r="28" spans="1:5" ht="15.6" x14ac:dyDescent="0.3">
      <c r="A28" s="120">
        <v>23</v>
      </c>
      <c r="B28" s="121" t="s">
        <v>271</v>
      </c>
      <c r="C28" s="45"/>
      <c r="D28" s="119">
        <v>0.91</v>
      </c>
      <c r="E28" s="45" t="s">
        <v>275</v>
      </c>
    </row>
    <row r="29" spans="1:5" ht="15.6" x14ac:dyDescent="0.3">
      <c r="A29" s="120">
        <v>24</v>
      </c>
      <c r="B29" s="122" t="s">
        <v>272</v>
      </c>
      <c r="C29" s="45"/>
      <c r="D29" s="117">
        <v>2.3E-2</v>
      </c>
      <c r="E29" s="45"/>
    </row>
    <row r="30" spans="1:5" ht="15.6" x14ac:dyDescent="0.3">
      <c r="A30" s="120">
        <v>25</v>
      </c>
      <c r="B30" s="121" t="s">
        <v>244</v>
      </c>
      <c r="C30" s="45"/>
      <c r="D30" s="118">
        <f>D31*D26+D32*D27</f>
        <v>5.4419313734316542E-2</v>
      </c>
      <c r="E30" s="45"/>
    </row>
    <row r="31" spans="1:5" x14ac:dyDescent="0.3">
      <c r="A31" s="120">
        <v>26</v>
      </c>
      <c r="B31" s="123" t="s">
        <v>273</v>
      </c>
      <c r="C31" s="45"/>
      <c r="D31" s="115">
        <f>D19/D18</f>
        <v>0.16243048322832931</v>
      </c>
      <c r="E31" s="45"/>
    </row>
    <row r="32" spans="1:5" x14ac:dyDescent="0.3">
      <c r="A32" s="120">
        <v>27</v>
      </c>
      <c r="B32" s="123" t="s">
        <v>274</v>
      </c>
      <c r="C32" s="45"/>
      <c r="D32" s="115">
        <f>1-D31</f>
        <v>0.83756951677167069</v>
      </c>
      <c r="E32" s="45"/>
    </row>
    <row r="33" spans="1:6" x14ac:dyDescent="0.3">
      <c r="A33" s="44">
        <v>28</v>
      </c>
      <c r="B33" s="114"/>
      <c r="C33" s="45"/>
      <c r="D33" s="46"/>
      <c r="E33" s="45"/>
    </row>
    <row r="34" spans="1:6" x14ac:dyDescent="0.3">
      <c r="B34" s="74" t="s">
        <v>244</v>
      </c>
      <c r="D34" s="102">
        <v>5.4420089917213671E-2</v>
      </c>
    </row>
    <row r="35" spans="1:6" x14ac:dyDescent="0.3">
      <c r="B35" s="74" t="s">
        <v>255</v>
      </c>
      <c r="C35" t="s">
        <v>256</v>
      </c>
      <c r="D35" s="16">
        <v>2.3E-2</v>
      </c>
      <c r="E35" t="s">
        <v>257</v>
      </c>
    </row>
    <row r="39" spans="1:6" ht="15" thickBot="1" x14ac:dyDescent="0.35"/>
    <row r="40" spans="1:6" ht="15.6" x14ac:dyDescent="0.3">
      <c r="E40" s="133"/>
      <c r="F40" s="134"/>
    </row>
    <row r="41" spans="1:6" ht="15.6" x14ac:dyDescent="0.3">
      <c r="E41" s="96" t="s">
        <v>266</v>
      </c>
      <c r="F41" s="97"/>
    </row>
    <row r="42" spans="1:6" ht="15.6" x14ac:dyDescent="0.3">
      <c r="E42" s="98"/>
      <c r="F42" s="99"/>
    </row>
    <row r="43" spans="1:6" ht="15.6" x14ac:dyDescent="0.3">
      <c r="E43" s="98" t="s">
        <v>267</v>
      </c>
      <c r="F43" s="99">
        <v>5.9499999999999997E-2</v>
      </c>
    </row>
    <row r="44" spans="1:6" ht="15.6" x14ac:dyDescent="0.3">
      <c r="E44" s="98" t="s">
        <v>268</v>
      </c>
      <c r="F44" s="100">
        <v>0.01</v>
      </c>
    </row>
    <row r="45" spans="1:6" ht="15.6" x14ac:dyDescent="0.3">
      <c r="E45" s="98" t="s">
        <v>164</v>
      </c>
      <c r="F45" s="100">
        <v>0.25274725274725274</v>
      </c>
    </row>
    <row r="46" spans="1:6" ht="15.6" x14ac:dyDescent="0.3">
      <c r="E46" s="98" t="s">
        <v>269</v>
      </c>
      <c r="F46" s="101">
        <v>1.6E-2</v>
      </c>
    </row>
    <row r="47" spans="1:6" ht="15.6" x14ac:dyDescent="0.3">
      <c r="E47" s="98" t="s">
        <v>270</v>
      </c>
      <c r="F47" s="102">
        <f>F44+F48*(F43)</f>
        <v>6.4144999999999994E-2</v>
      </c>
    </row>
    <row r="48" spans="1:6" ht="15.6" x14ac:dyDescent="0.3">
      <c r="E48" s="98" t="s">
        <v>271</v>
      </c>
      <c r="F48" s="103">
        <v>0.91</v>
      </c>
    </row>
    <row r="49" spans="5:6" ht="15.6" x14ac:dyDescent="0.3">
      <c r="E49" s="104" t="s">
        <v>272</v>
      </c>
      <c r="F49" s="101">
        <v>2.5000000000000001E-2</v>
      </c>
    </row>
    <row r="50" spans="5:6" ht="15.6" x14ac:dyDescent="0.3">
      <c r="E50" s="98" t="s">
        <v>244</v>
      </c>
      <c r="F50" s="105" t="e">
        <f>F51*F46+F52*F47</f>
        <v>#REF!</v>
      </c>
    </row>
    <row r="51" spans="5:6" x14ac:dyDescent="0.3">
      <c r="E51" s="106" t="s">
        <v>273</v>
      </c>
      <c r="F51" s="107" t="e">
        <f>#REF!/#REF!</f>
        <v>#REF!</v>
      </c>
    </row>
    <row r="52" spans="5:6" ht="15" thickBot="1" x14ac:dyDescent="0.35">
      <c r="E52" s="108" t="s">
        <v>274</v>
      </c>
      <c r="F52" s="109" t="e">
        <f>1-F51</f>
        <v>#REF!</v>
      </c>
    </row>
  </sheetData>
  <mergeCells count="6">
    <mergeCell ref="A1:E1"/>
    <mergeCell ref="E40:F40"/>
    <mergeCell ref="A3:E3"/>
    <mergeCell ref="A11:E11"/>
    <mergeCell ref="E12:E14"/>
    <mergeCell ref="A17:E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2F86-16AE-4519-A904-0C6F04A91440}">
  <sheetPr>
    <tabColor rgb="FF92D050"/>
  </sheetPr>
  <dimension ref="A1:L55"/>
  <sheetViews>
    <sheetView topLeftCell="A16" zoomScaleNormal="100" workbookViewId="0">
      <selection activeCell="B24" sqref="B24:H24"/>
    </sheetView>
  </sheetViews>
  <sheetFormatPr defaultColWidth="8.88671875" defaultRowHeight="14.4" x14ac:dyDescent="0.3"/>
  <cols>
    <col min="1" max="1" width="51.109375" style="15" bestFit="1" customWidth="1"/>
    <col min="2" max="6" width="10.33203125" style="4" bestFit="1" customWidth="1"/>
    <col min="7" max="7" width="10.6640625" style="4" customWidth="1"/>
    <col min="8" max="8" width="9.5546875" customWidth="1"/>
    <col min="9" max="9" width="10.109375" customWidth="1"/>
    <col min="10" max="12" width="10.33203125" customWidth="1"/>
  </cols>
  <sheetData>
    <row r="1" spans="1:12" ht="25.8" x14ac:dyDescent="0.5">
      <c r="A1" s="131" t="s">
        <v>45</v>
      </c>
      <c r="B1" s="131"/>
      <c r="C1" s="131"/>
      <c r="D1" s="131"/>
      <c r="E1" s="131"/>
      <c r="F1" s="131"/>
    </row>
    <row r="2" spans="1:12" x14ac:dyDescent="0.3">
      <c r="B2" s="50">
        <v>0</v>
      </c>
      <c r="C2" s="50">
        <v>1</v>
      </c>
      <c r="D2" s="50">
        <v>2</v>
      </c>
      <c r="E2" s="50">
        <v>3</v>
      </c>
      <c r="F2" s="50">
        <v>4</v>
      </c>
      <c r="G2" s="50">
        <v>5</v>
      </c>
      <c r="H2" s="50">
        <v>6</v>
      </c>
      <c r="I2" s="50">
        <v>7</v>
      </c>
      <c r="J2" s="50">
        <v>8</v>
      </c>
      <c r="K2" s="50">
        <v>9</v>
      </c>
      <c r="L2" s="50">
        <v>10</v>
      </c>
    </row>
    <row r="3" spans="1:12" ht="12" customHeight="1" thickBot="1" x14ac:dyDescent="0.45">
      <c r="A3" s="9" t="s">
        <v>101</v>
      </c>
      <c r="B3" s="83" t="s">
        <v>35</v>
      </c>
      <c r="C3" s="83" t="s">
        <v>184</v>
      </c>
      <c r="D3" s="83" t="s">
        <v>185</v>
      </c>
      <c r="E3" s="83" t="s">
        <v>186</v>
      </c>
      <c r="F3" s="83" t="s">
        <v>187</v>
      </c>
      <c r="G3" s="83" t="s">
        <v>188</v>
      </c>
      <c r="H3" s="83" t="s">
        <v>189</v>
      </c>
      <c r="I3" s="83" t="s">
        <v>190</v>
      </c>
      <c r="J3" s="83" t="s">
        <v>191</v>
      </c>
      <c r="K3" s="83" t="s">
        <v>192</v>
      </c>
      <c r="L3" s="83" t="s">
        <v>193</v>
      </c>
    </row>
    <row r="4" spans="1:12" ht="12" customHeight="1" x14ac:dyDescent="0.3">
      <c r="A4" s="4" t="s">
        <v>46</v>
      </c>
      <c r="B4" s="4">
        <f>'Historical IS'!F4</f>
        <v>1816.1</v>
      </c>
      <c r="C4" s="4">
        <f>B4*(1+'Assumption Sheet'!D4)</f>
        <v>2038.12</v>
      </c>
      <c r="D4" s="4">
        <f>C4*(1+'Assumption Sheet'!$D$5)</f>
        <v>2170.5977999999996</v>
      </c>
      <c r="E4" s="4">
        <f>D4*(1+'Assumption Sheet'!$D$5)</f>
        <v>2311.6866569999993</v>
      </c>
      <c r="F4" s="4">
        <f>E4*(1+'Assumption Sheet'!$D$5)</f>
        <v>2461.9462897049989</v>
      </c>
      <c r="G4" s="4">
        <f>F4*(1+'Assumption Sheet'!$D$5)</f>
        <v>2621.9727985358236</v>
      </c>
      <c r="H4" s="4">
        <f>G4*(1+'Assumption Sheet'!$D$6)</f>
        <v>2726.8517104772568</v>
      </c>
      <c r="I4" s="4">
        <f>H4*(1+'Assumption Sheet'!$D$6)</f>
        <v>2835.9257788963473</v>
      </c>
      <c r="J4" s="4">
        <f>I4*(1+'Assumption Sheet'!$D$6)</f>
        <v>2949.3628100522014</v>
      </c>
      <c r="K4" s="4">
        <f>J4*(1+'Assumption Sheet'!$D$6)</f>
        <v>3067.3373224542897</v>
      </c>
      <c r="L4" s="4">
        <f>K4*(1+'Assumption Sheet'!$D$6)</f>
        <v>3190.0308153524616</v>
      </c>
    </row>
    <row r="5" spans="1:12" s="29" customFormat="1" ht="12" customHeight="1" x14ac:dyDescent="0.3">
      <c r="A5" s="28" t="s">
        <v>144</v>
      </c>
      <c r="B5" s="31">
        <f>'Historical IS'!F5</f>
        <v>1.8050339144570771E-2</v>
      </c>
      <c r="C5" s="30">
        <f>C4/B4-1</f>
        <v>0.12225097736908763</v>
      </c>
      <c r="D5" s="30">
        <f t="shared" ref="D5:L5" si="0">D4/C4-1</f>
        <v>6.4999999999999947E-2</v>
      </c>
      <c r="E5" s="30">
        <f t="shared" si="0"/>
        <v>6.4999999999999947E-2</v>
      </c>
      <c r="F5" s="30">
        <f t="shared" si="0"/>
        <v>6.4999999999999947E-2</v>
      </c>
      <c r="G5" s="30">
        <f t="shared" si="0"/>
        <v>6.4999999999999947E-2</v>
      </c>
      <c r="H5" s="30">
        <f t="shared" si="0"/>
        <v>4.0000000000000036E-2</v>
      </c>
      <c r="I5" s="30">
        <f t="shared" si="0"/>
        <v>4.0000000000000036E-2</v>
      </c>
      <c r="J5" s="30">
        <f t="shared" si="0"/>
        <v>4.0000000000000036E-2</v>
      </c>
      <c r="K5" s="30">
        <f t="shared" si="0"/>
        <v>4.0000000000000036E-2</v>
      </c>
      <c r="L5" s="30">
        <f t="shared" si="0"/>
        <v>4.0000000000000036E-2</v>
      </c>
    </row>
    <row r="6" spans="1:12" ht="12" customHeight="1" x14ac:dyDescent="0.3">
      <c r="A6" s="4" t="s">
        <v>47</v>
      </c>
      <c r="B6" s="4">
        <f>'Historical IS'!F6</f>
        <v>-1422.2</v>
      </c>
      <c r="C6" s="4">
        <f>-C4*'Assumption Sheet'!$D$7</f>
        <v>-1575.1935121834476</v>
      </c>
      <c r="D6" s="4">
        <f>-D4*'Assumption Sheet'!$D$7</f>
        <v>-1677.5810904753714</v>
      </c>
      <c r="E6" s="4">
        <f>-E4*'Assumption Sheet'!$D$7</f>
        <v>-1786.6238613562703</v>
      </c>
      <c r="F6" s="4">
        <f>-F4*'Assumption Sheet'!$D$7</f>
        <v>-1902.7544123444277</v>
      </c>
      <c r="G6" s="4">
        <f>-G4*'Assumption Sheet'!$D$7</f>
        <v>-2026.4334491468153</v>
      </c>
      <c r="H6" s="4">
        <f>-H4*'Assumption Sheet'!$D$7</f>
        <v>-2107.4907871126879</v>
      </c>
      <c r="I6" s="4">
        <f>-I4*'Assumption Sheet'!$D$7</f>
        <v>-2191.7904185971956</v>
      </c>
      <c r="J6" s="4">
        <f>-J4*'Assumption Sheet'!$D$7</f>
        <v>-2279.4620353410837</v>
      </c>
      <c r="K6" s="4">
        <f>-K4*'Assumption Sheet'!$D$7</f>
        <v>-2370.6405167547273</v>
      </c>
      <c r="L6" s="4">
        <f>-L4*'Assumption Sheet'!$D$7</f>
        <v>-2465.4661374249167</v>
      </c>
    </row>
    <row r="7" spans="1:12" s="29" customFormat="1" ht="12" customHeight="1" x14ac:dyDescent="0.3">
      <c r="A7" s="28" t="s">
        <v>145</v>
      </c>
      <c r="B7" s="4">
        <f>'Historical IS'!F7</f>
        <v>0.78310665712240524</v>
      </c>
      <c r="C7" s="30"/>
      <c r="D7" s="30"/>
      <c r="E7" s="30"/>
      <c r="F7" s="30"/>
      <c r="G7" s="30"/>
    </row>
    <row r="8" spans="1:12" ht="12" customHeight="1" x14ac:dyDescent="0.3">
      <c r="A8" s="21" t="s">
        <v>48</v>
      </c>
      <c r="B8" s="4">
        <f>'Historical IS'!F8</f>
        <v>393.89999999999986</v>
      </c>
      <c r="C8" s="5">
        <f>C4+C6</f>
        <v>462.92648781655225</v>
      </c>
      <c r="D8" s="5">
        <f t="shared" ref="D8:L8" si="1">D4+D6</f>
        <v>493.01670952462814</v>
      </c>
      <c r="E8" s="5">
        <f t="shared" si="1"/>
        <v>525.06279564372903</v>
      </c>
      <c r="F8" s="5">
        <f t="shared" si="1"/>
        <v>559.1918773605712</v>
      </c>
      <c r="G8" s="5">
        <f t="shared" si="1"/>
        <v>595.53934938900829</v>
      </c>
      <c r="H8" s="5">
        <f t="shared" si="1"/>
        <v>619.36092336456886</v>
      </c>
      <c r="I8" s="5">
        <f t="shared" si="1"/>
        <v>644.13536029915167</v>
      </c>
      <c r="J8" s="5">
        <f t="shared" si="1"/>
        <v>669.90077471111772</v>
      </c>
      <c r="K8" s="5">
        <f t="shared" si="1"/>
        <v>696.69680569956245</v>
      </c>
      <c r="L8" s="5">
        <f t="shared" si="1"/>
        <v>724.56467792754484</v>
      </c>
    </row>
    <row r="9" spans="1:12" ht="12" customHeight="1" x14ac:dyDescent="0.3">
      <c r="A9" s="4" t="s">
        <v>49</v>
      </c>
      <c r="B9" s="4">
        <f>'Historical IS'!F9</f>
        <v>29.3</v>
      </c>
    </row>
    <row r="10" spans="1:12" ht="12" customHeight="1" x14ac:dyDescent="0.3">
      <c r="A10" s="4" t="s">
        <v>50</v>
      </c>
      <c r="B10" s="4">
        <f>'Historical IS'!F10</f>
        <v>-75.099999999999994</v>
      </c>
    </row>
    <row r="11" spans="1:12" ht="12" customHeight="1" x14ac:dyDescent="0.3">
      <c r="A11" s="4" t="s">
        <v>51</v>
      </c>
      <c r="B11" s="4">
        <f>'Historical IS'!F11</f>
        <v>-181.1</v>
      </c>
    </row>
    <row r="12" spans="1:12" ht="12" customHeight="1" x14ac:dyDescent="0.3">
      <c r="A12" s="4" t="s">
        <v>52</v>
      </c>
      <c r="B12" s="4">
        <f>'Historical IS'!F12</f>
        <v>-12.4</v>
      </c>
    </row>
    <row r="13" spans="1:12" ht="12" customHeight="1" x14ac:dyDescent="0.3">
      <c r="A13" s="4" t="s">
        <v>53</v>
      </c>
      <c r="B13" s="4">
        <f>'Historical IS'!F13</f>
        <v>17.399999999999999</v>
      </c>
    </row>
    <row r="14" spans="1:12" s="34" customFormat="1" ht="12" customHeight="1" x14ac:dyDescent="0.3">
      <c r="A14" s="33" t="s">
        <v>148</v>
      </c>
      <c r="B14" s="4">
        <f>'Historical IS'!F14</f>
        <v>-221.89999999999998</v>
      </c>
      <c r="C14" s="33">
        <f>-C4*'Assumption Sheet'!$D$8</f>
        <v>-271.31422971739084</v>
      </c>
      <c r="D14" s="33">
        <f>-D4*'Assumption Sheet'!$D$8</f>
        <v>-288.94965464902117</v>
      </c>
      <c r="E14" s="33">
        <f>-E4*'Assumption Sheet'!$D$8</f>
        <v>-307.73138220120751</v>
      </c>
      <c r="F14" s="33">
        <f>-F4*'Assumption Sheet'!$D$8</f>
        <v>-327.73392204428598</v>
      </c>
      <c r="G14" s="33">
        <f>-G4*'Assumption Sheet'!$D$8</f>
        <v>-349.03662697716453</v>
      </c>
      <c r="H14" s="33">
        <f>-H4*'Assumption Sheet'!$D$8</f>
        <v>-362.99809205625115</v>
      </c>
      <c r="I14" s="33">
        <f>-I4*'Assumption Sheet'!$D$8</f>
        <v>-377.51801573850122</v>
      </c>
      <c r="J14" s="33">
        <f>-J4*'Assumption Sheet'!$D$8</f>
        <v>-392.61873636804131</v>
      </c>
      <c r="K14" s="33">
        <f>-K4*'Assumption Sheet'!$D$8</f>
        <v>-408.32348582276302</v>
      </c>
      <c r="L14" s="33">
        <f>-L4*'Assumption Sheet'!$D$8</f>
        <v>-424.65642525567353</v>
      </c>
    </row>
    <row r="15" spans="1:12" s="29" customFormat="1" ht="12" customHeight="1" x14ac:dyDescent="0.3">
      <c r="A15" s="28" t="s">
        <v>145</v>
      </c>
      <c r="B15" s="4">
        <f>'Historical IS'!F15</f>
        <v>0.12218490171246076</v>
      </c>
      <c r="C15" s="30"/>
      <c r="D15" s="30"/>
      <c r="E15" s="30"/>
      <c r="F15" s="30"/>
      <c r="G15" s="30"/>
    </row>
    <row r="16" spans="1:12" s="1" customFormat="1" ht="12" customHeight="1" x14ac:dyDescent="0.3">
      <c r="A16" s="5" t="s">
        <v>54</v>
      </c>
      <c r="B16" s="4">
        <f>'Historical IS'!F16</f>
        <v>171.99999999999991</v>
      </c>
      <c r="C16" s="5">
        <f>C8+C14</f>
        <v>191.61225809916141</v>
      </c>
      <c r="D16" s="5">
        <f t="shared" ref="D16:L16" si="2">D8+D14</f>
        <v>204.06705487560697</v>
      </c>
      <c r="E16" s="5">
        <f t="shared" si="2"/>
        <v>217.33141344252152</v>
      </c>
      <c r="F16" s="5">
        <f t="shared" si="2"/>
        <v>231.45795531628522</v>
      </c>
      <c r="G16" s="5">
        <f t="shared" si="2"/>
        <v>246.50272241184376</v>
      </c>
      <c r="H16" s="5">
        <f t="shared" si="2"/>
        <v>256.36283130831771</v>
      </c>
      <c r="I16" s="5">
        <f t="shared" si="2"/>
        <v>266.61734456065045</v>
      </c>
      <c r="J16" s="5">
        <f t="shared" si="2"/>
        <v>277.28203834307641</v>
      </c>
      <c r="K16" s="5">
        <f t="shared" si="2"/>
        <v>288.37331987679943</v>
      </c>
      <c r="L16" s="5">
        <f t="shared" si="2"/>
        <v>299.90825267187131</v>
      </c>
    </row>
    <row r="17" spans="1:12" ht="12" customHeight="1" x14ac:dyDescent="0.3">
      <c r="A17" s="4" t="s">
        <v>55</v>
      </c>
      <c r="B17" s="4">
        <f>'Historical IS'!F17</f>
        <v>2.6</v>
      </c>
    </row>
    <row r="18" spans="1:12" ht="12" customHeight="1" x14ac:dyDescent="0.3">
      <c r="A18" s="4" t="s">
        <v>56</v>
      </c>
      <c r="B18" s="4">
        <f>'Historical IS'!F18</f>
        <v>-83.6</v>
      </c>
    </row>
    <row r="19" spans="1:12" ht="12" customHeight="1" x14ac:dyDescent="0.3">
      <c r="A19" s="5" t="s">
        <v>57</v>
      </c>
      <c r="B19" s="4">
        <f>'Historical IS'!F19</f>
        <v>-81</v>
      </c>
      <c r="C19" s="5">
        <f>-C4*'Assumption Sheet'!$D$9</f>
        <v>-34.677415058015505</v>
      </c>
      <c r="D19" s="5">
        <f>-D4*'Assumption Sheet'!$D$9</f>
        <v>-36.931447036786501</v>
      </c>
      <c r="E19" s="5">
        <f>-E4*'Assumption Sheet'!$D$9</f>
        <v>-39.331991094177624</v>
      </c>
      <c r="F19" s="5">
        <f>-F4*'Assumption Sheet'!$D$9</f>
        <v>-41.888570515299165</v>
      </c>
      <c r="G19" s="5">
        <f>-G4*'Assumption Sheet'!$D$9</f>
        <v>-44.611327598793601</v>
      </c>
      <c r="H19" s="5">
        <f>-H4*'Assumption Sheet'!$D$9</f>
        <v>-46.395780702745355</v>
      </c>
      <c r="I19" s="5">
        <f>-I4*'Assumption Sheet'!$D$9</f>
        <v>-48.251611930855169</v>
      </c>
      <c r="J19" s="5">
        <f>-J4*'Assumption Sheet'!$D$9</f>
        <v>-50.18167640808938</v>
      </c>
      <c r="K19" s="5">
        <f>-K4*'Assumption Sheet'!$D$9</f>
        <v>-52.188943464412958</v>
      </c>
      <c r="L19" s="5">
        <f>-L4*'Assumption Sheet'!$D$9</f>
        <v>-54.276501202989486</v>
      </c>
    </row>
    <row r="20" spans="1:12" s="29" customFormat="1" ht="12" customHeight="1" x14ac:dyDescent="0.3">
      <c r="A20" s="35" t="s">
        <v>149</v>
      </c>
      <c r="B20" s="4">
        <f>'Historical IS'!F20</f>
        <v>4.4601068223115471E-2</v>
      </c>
      <c r="C20" s="36"/>
      <c r="D20" s="36"/>
      <c r="E20" s="36"/>
      <c r="F20" s="36"/>
      <c r="G20" s="36"/>
    </row>
    <row r="21" spans="1:12" ht="12" customHeight="1" x14ac:dyDescent="0.3">
      <c r="A21" s="19" t="s">
        <v>102</v>
      </c>
      <c r="B21" s="4">
        <f>'Historical IS'!F21</f>
        <v>90.999999999999915</v>
      </c>
      <c r="C21" s="19">
        <f>C16+C19</f>
        <v>156.93484304114591</v>
      </c>
      <c r="D21" s="19">
        <f t="shared" ref="D21:L21" si="3">D16+D19</f>
        <v>167.13560783882048</v>
      </c>
      <c r="E21" s="19">
        <f t="shared" si="3"/>
        <v>177.9994223483439</v>
      </c>
      <c r="F21" s="19">
        <f t="shared" si="3"/>
        <v>189.56938480098606</v>
      </c>
      <c r="G21" s="19">
        <f t="shared" si="3"/>
        <v>201.89139481305017</v>
      </c>
      <c r="H21" s="19">
        <f t="shared" si="3"/>
        <v>209.96705060557235</v>
      </c>
      <c r="I21" s="19">
        <f t="shared" si="3"/>
        <v>218.36573262979527</v>
      </c>
      <c r="J21" s="19">
        <f t="shared" si="3"/>
        <v>227.10036193498703</v>
      </c>
      <c r="K21" s="19">
        <f t="shared" si="3"/>
        <v>236.18437641238648</v>
      </c>
      <c r="L21" s="19">
        <f t="shared" si="3"/>
        <v>245.63175146888182</v>
      </c>
    </row>
    <row r="22" spans="1:12" ht="12" customHeight="1" x14ac:dyDescent="0.3">
      <c r="A22" s="4" t="s">
        <v>58</v>
      </c>
      <c r="B22" s="4">
        <f>'Historical IS'!F22</f>
        <v>-23</v>
      </c>
      <c r="C22" s="4">
        <f>-C21*'Assumption Sheet'!$D$10</f>
        <v>-39.66485043897098</v>
      </c>
      <c r="D22" s="4">
        <f>-D21*'Assumption Sheet'!$D$10</f>
        <v>-42.243065717504109</v>
      </c>
      <c r="E22" s="4">
        <f>-E21*'Assumption Sheet'!$D$10</f>
        <v>-44.988864989141902</v>
      </c>
      <c r="F22" s="4">
        <f>-F21*'Assumption Sheet'!$D$10</f>
        <v>-47.913141213436077</v>
      </c>
      <c r="G22" s="4">
        <f>-G21*'Assumption Sheet'!$D$10</f>
        <v>-51.027495392309426</v>
      </c>
      <c r="H22" s="4">
        <f>-H21*'Assumption Sheet'!$D$10</f>
        <v>-53.068595208001845</v>
      </c>
      <c r="I22" s="4">
        <f>-I21*'Assumption Sheet'!$D$10</f>
        <v>-55.191339016321926</v>
      </c>
      <c r="J22" s="4">
        <f>-J21*'Assumption Sheet'!$D$10</f>
        <v>-57.398992576974791</v>
      </c>
      <c r="K22" s="4">
        <f>-K21*'Assumption Sheet'!$D$10</f>
        <v>-59.694952280053776</v>
      </c>
      <c r="L22" s="4">
        <f>-L21*'Assumption Sheet'!$D$10</f>
        <v>-62.082750371255898</v>
      </c>
    </row>
    <row r="23" spans="1:12" hidden="1" x14ac:dyDescent="0.3">
      <c r="A23" s="4" t="s">
        <v>150</v>
      </c>
      <c r="B23" s="4">
        <f>'Historical IS'!F23</f>
        <v>0.25274725274725296</v>
      </c>
      <c r="E23" s="31"/>
      <c r="F23" s="31"/>
      <c r="G23" s="31"/>
    </row>
    <row r="24" spans="1:12" x14ac:dyDescent="0.3">
      <c r="A24" s="5" t="s">
        <v>113</v>
      </c>
      <c r="B24" s="4">
        <f>'Historical IS'!F24</f>
        <v>67.999999999999915</v>
      </c>
      <c r="C24" s="5">
        <f>C21+C22</f>
        <v>117.26999260217494</v>
      </c>
      <c r="D24" s="5">
        <f t="shared" ref="D24:L24" si="4">D21+D22</f>
        <v>124.89254212131637</v>
      </c>
      <c r="E24" s="5">
        <f t="shared" si="4"/>
        <v>133.01055735920198</v>
      </c>
      <c r="F24" s="5">
        <f t="shared" si="4"/>
        <v>141.65624358754997</v>
      </c>
      <c r="G24" s="5">
        <f t="shared" si="4"/>
        <v>150.86389942074075</v>
      </c>
      <c r="H24" s="5">
        <f t="shared" si="4"/>
        <v>156.8984553975705</v>
      </c>
      <c r="I24" s="5">
        <f t="shared" si="4"/>
        <v>163.17439361347334</v>
      </c>
      <c r="J24" s="5">
        <f t="shared" si="4"/>
        <v>169.70136935801224</v>
      </c>
      <c r="K24" s="5">
        <f t="shared" si="4"/>
        <v>176.48942413233272</v>
      </c>
      <c r="L24" s="5">
        <f t="shared" si="4"/>
        <v>183.54900109762593</v>
      </c>
    </row>
    <row r="25" spans="1:12" s="29" customFormat="1" x14ac:dyDescent="0.3">
      <c r="A25" s="37" t="s">
        <v>151</v>
      </c>
      <c r="B25" s="31">
        <f>'Historical IS'!F25</f>
        <v>3.7442872088541336E-2</v>
      </c>
      <c r="C25" s="31">
        <f>C24/C4</f>
        <v>5.7538315998162497E-2</v>
      </c>
      <c r="D25" s="31">
        <f t="shared" ref="D25:L25" si="5">D24/D4</f>
        <v>5.7538315998162531E-2</v>
      </c>
      <c r="E25" s="31">
        <f t="shared" si="5"/>
        <v>5.7538315998162559E-2</v>
      </c>
      <c r="F25" s="31">
        <f t="shared" si="5"/>
        <v>5.7538315998162511E-2</v>
      </c>
      <c r="G25" s="31">
        <f t="shared" si="5"/>
        <v>5.7538315998162524E-2</v>
      </c>
      <c r="H25" s="31">
        <f t="shared" si="5"/>
        <v>5.7538315998162566E-2</v>
      </c>
      <c r="I25" s="31">
        <f t="shared" si="5"/>
        <v>5.7538315998162566E-2</v>
      </c>
      <c r="J25" s="31">
        <f t="shared" si="5"/>
        <v>5.7538315998162552E-2</v>
      </c>
      <c r="K25" s="31">
        <f t="shared" si="5"/>
        <v>5.7538315998162545E-2</v>
      </c>
      <c r="L25" s="31">
        <f t="shared" si="5"/>
        <v>5.7538315998162511E-2</v>
      </c>
    </row>
    <row r="26" spans="1:12" hidden="1" x14ac:dyDescent="0.3">
      <c r="A26" s="17" t="s">
        <v>59</v>
      </c>
      <c r="B26" s="4">
        <f>'Historical IS'!F26</f>
        <v>0</v>
      </c>
    </row>
    <row r="27" spans="1:12" hidden="1" x14ac:dyDescent="0.3">
      <c r="A27" s="17" t="s">
        <v>60</v>
      </c>
      <c r="B27" s="4">
        <f>'Historical IS'!F27</f>
        <v>0</v>
      </c>
    </row>
    <row r="28" spans="1:12" hidden="1" x14ac:dyDescent="0.3">
      <c r="A28" s="4" t="s">
        <v>61</v>
      </c>
      <c r="B28" s="4">
        <f>'Historical IS'!F28</f>
        <v>0</v>
      </c>
    </row>
    <row r="29" spans="1:12" hidden="1" x14ac:dyDescent="0.3">
      <c r="A29" s="4" t="s">
        <v>62</v>
      </c>
      <c r="B29" s="4">
        <f>'Historical IS'!F29</f>
        <v>-138.6</v>
      </c>
      <c r="C29" s="4">
        <v>7.3</v>
      </c>
      <c r="D29" s="4">
        <v>-60.7</v>
      </c>
      <c r="E29" s="4">
        <v>60</v>
      </c>
      <c r="F29" s="4">
        <v>-138.6</v>
      </c>
    </row>
    <row r="30" spans="1:12" hidden="1" x14ac:dyDescent="0.3">
      <c r="A30" s="4" t="s">
        <v>103</v>
      </c>
      <c r="B30" s="4">
        <f>'Historical IS'!F30</f>
        <v>0</v>
      </c>
      <c r="C30" s="4">
        <v>0</v>
      </c>
      <c r="D30" s="4">
        <v>0.1</v>
      </c>
      <c r="E30" s="4">
        <v>0</v>
      </c>
    </row>
    <row r="31" spans="1:12" hidden="1" x14ac:dyDescent="0.3">
      <c r="A31" s="17" t="s">
        <v>63</v>
      </c>
      <c r="B31" s="4">
        <f>'Historical IS'!F31</f>
        <v>0</v>
      </c>
    </row>
    <row r="32" spans="1:12" hidden="1" x14ac:dyDescent="0.3">
      <c r="A32" s="4" t="s">
        <v>64</v>
      </c>
      <c r="B32" s="4">
        <f>'Historical IS'!F32</f>
        <v>7.8</v>
      </c>
      <c r="C32" s="4">
        <v>25.4</v>
      </c>
      <c r="D32" s="4">
        <v>-2.1</v>
      </c>
      <c r="E32" s="4">
        <v>24</v>
      </c>
      <c r="F32" s="4">
        <v>7.8</v>
      </c>
    </row>
    <row r="33" spans="1:12" hidden="1" x14ac:dyDescent="0.3">
      <c r="A33" s="17" t="s">
        <v>65</v>
      </c>
      <c r="B33" s="4">
        <f>'Historical IS'!F33</f>
        <v>-130.79999999999998</v>
      </c>
      <c r="C33" s="17">
        <f t="shared" ref="C33:F33" si="6">+C29+C30+C32</f>
        <v>32.699999999999996</v>
      </c>
      <c r="D33" s="17">
        <f t="shared" si="6"/>
        <v>-62.7</v>
      </c>
      <c r="E33" s="17">
        <f t="shared" si="6"/>
        <v>84</v>
      </c>
      <c r="F33" s="17">
        <f t="shared" si="6"/>
        <v>-130.79999999999998</v>
      </c>
    </row>
    <row r="34" spans="1:12" ht="15.6" hidden="1" x14ac:dyDescent="0.3">
      <c r="A34" s="5" t="s">
        <v>66</v>
      </c>
      <c r="B34" s="4">
        <f>'Historical IS'!F34</f>
        <v>-62.800000000000068</v>
      </c>
      <c r="C34" s="7">
        <f t="shared" ref="C34:F34" si="7">+C24+C33</f>
        <v>149.96999260217493</v>
      </c>
      <c r="D34" s="7">
        <f t="shared" si="7"/>
        <v>62.192542121316365</v>
      </c>
      <c r="E34" s="7">
        <f t="shared" si="7"/>
        <v>217.01055735920198</v>
      </c>
      <c r="F34" s="7">
        <f t="shared" si="7"/>
        <v>10.856243587549983</v>
      </c>
    </row>
    <row r="36" spans="1:12" ht="15" thickBot="1" x14ac:dyDescent="0.35"/>
    <row r="37" spans="1:12" x14ac:dyDescent="0.3">
      <c r="A37" s="139" t="s">
        <v>252</v>
      </c>
      <c r="B37" s="67"/>
      <c r="C37" s="67"/>
      <c r="D37" s="67"/>
      <c r="E37" s="67"/>
      <c r="F37" s="67"/>
      <c r="G37" s="67"/>
      <c r="H37" s="61"/>
      <c r="I37" s="61"/>
      <c r="J37" s="61"/>
      <c r="K37" s="61"/>
      <c r="L37" s="62"/>
    </row>
    <row r="38" spans="1:12" x14ac:dyDescent="0.3">
      <c r="A38" s="137"/>
      <c r="B38" s="76" t="str">
        <f>'Historical BS'!B3</f>
        <v>FY16</v>
      </c>
      <c r="C38" s="76" t="str">
        <f>'Historical BS'!C3</f>
        <v>FY17</v>
      </c>
      <c r="D38" s="76" t="str">
        <f>'Historical BS'!D3</f>
        <v>FY18</v>
      </c>
      <c r="E38" s="76" t="str">
        <f>'Historical BS'!E3</f>
        <v>FY19</v>
      </c>
      <c r="F38" s="76" t="str">
        <f>'Historical BS'!F3</f>
        <v>FY20</v>
      </c>
      <c r="G38" s="76"/>
      <c r="H38" s="49"/>
      <c r="I38" s="49"/>
      <c r="J38" s="49"/>
      <c r="K38" s="49"/>
      <c r="L38" s="77"/>
    </row>
    <row r="39" spans="1:12" x14ac:dyDescent="0.3">
      <c r="A39" s="63" t="s">
        <v>218</v>
      </c>
      <c r="B39" s="76">
        <v>276</v>
      </c>
      <c r="C39" s="76">
        <v>386.1</v>
      </c>
      <c r="D39" s="76">
        <v>564.5</v>
      </c>
      <c r="E39" s="76">
        <v>789.5</v>
      </c>
      <c r="F39" s="76">
        <v>914.6</v>
      </c>
      <c r="G39" s="138" t="s">
        <v>143</v>
      </c>
      <c r="H39" s="49"/>
      <c r="I39" s="49"/>
      <c r="J39" s="49"/>
      <c r="K39" s="49"/>
      <c r="L39" s="77"/>
    </row>
    <row r="40" spans="1:12" x14ac:dyDescent="0.3">
      <c r="A40" s="63" t="s">
        <v>219</v>
      </c>
      <c r="B40" s="76">
        <v>262.10000000000002</v>
      </c>
      <c r="C40" s="76">
        <v>265.89999999999998</v>
      </c>
      <c r="D40" s="76">
        <v>271.7</v>
      </c>
      <c r="E40" s="76">
        <v>287</v>
      </c>
      <c r="F40" s="76">
        <v>277</v>
      </c>
      <c r="G40" s="138"/>
      <c r="H40" s="49"/>
      <c r="I40" s="49"/>
      <c r="J40" s="49"/>
      <c r="K40" s="49"/>
      <c r="L40" s="77"/>
    </row>
    <row r="41" spans="1:12" x14ac:dyDescent="0.3">
      <c r="A41" s="63" t="s">
        <v>220</v>
      </c>
      <c r="B41" s="78">
        <f>B40/'Historical IS'!B4</f>
        <v>0.15204780136906834</v>
      </c>
      <c r="C41" s="78">
        <f>C40/'Historical IS'!C4</f>
        <v>0.15978607054864491</v>
      </c>
      <c r="D41" s="78">
        <f>D40/'Historical IS'!D4</f>
        <v>0.16210249985084421</v>
      </c>
      <c r="E41" s="78">
        <f>E40/'Historical IS'!E4</f>
        <v>0.16088345759291439</v>
      </c>
      <c r="F41" s="78">
        <f>F40/'Historical IS'!F4</f>
        <v>0.1525246407136171</v>
      </c>
      <c r="G41" s="78">
        <f>AVERAGE(C41:F41)</f>
        <v>0.15882416717650516</v>
      </c>
      <c r="H41" s="49"/>
      <c r="I41" s="49"/>
      <c r="J41" s="49"/>
      <c r="K41" s="49"/>
      <c r="L41" s="77"/>
    </row>
    <row r="42" spans="1:12" x14ac:dyDescent="0.3">
      <c r="A42" s="64"/>
      <c r="B42" s="76"/>
      <c r="C42" s="76"/>
      <c r="D42" s="76"/>
      <c r="E42" s="76"/>
      <c r="F42" s="76"/>
      <c r="G42" s="76"/>
      <c r="H42" s="49"/>
      <c r="I42" s="49"/>
      <c r="J42" s="49"/>
      <c r="K42" s="49"/>
      <c r="L42" s="77"/>
    </row>
    <row r="43" spans="1:12" x14ac:dyDescent="0.3">
      <c r="A43" s="137" t="s">
        <v>253</v>
      </c>
      <c r="B43" s="76"/>
      <c r="C43" s="76"/>
      <c r="D43" s="76"/>
      <c r="E43" s="76"/>
      <c r="F43" s="76"/>
      <c r="G43" s="76"/>
      <c r="H43" s="49"/>
      <c r="I43" s="49"/>
      <c r="J43" s="49"/>
      <c r="K43" s="49"/>
      <c r="L43" s="77"/>
    </row>
    <row r="44" spans="1:12" x14ac:dyDescent="0.3">
      <c r="A44" s="137"/>
      <c r="B44" s="76" t="str">
        <f>B3</f>
        <v>FY20</v>
      </c>
      <c r="C44" s="76" t="str">
        <f t="shared" ref="C44:L44" si="8">C3</f>
        <v>FY21</v>
      </c>
      <c r="D44" s="76" t="str">
        <f t="shared" si="8"/>
        <v>FY22</v>
      </c>
      <c r="E44" s="76" t="str">
        <f t="shared" si="8"/>
        <v>FY23</v>
      </c>
      <c r="F44" s="76" t="str">
        <f t="shared" si="8"/>
        <v>FY24</v>
      </c>
      <c r="G44" s="76" t="str">
        <f t="shared" si="8"/>
        <v>FY25</v>
      </c>
      <c r="H44" s="76" t="str">
        <f t="shared" si="8"/>
        <v>FY26</v>
      </c>
      <c r="I44" s="76" t="str">
        <f t="shared" si="8"/>
        <v>FY27</v>
      </c>
      <c r="J44" s="76" t="str">
        <f t="shared" si="8"/>
        <v>FY28</v>
      </c>
      <c r="K44" s="76" t="str">
        <f t="shared" si="8"/>
        <v>FY29</v>
      </c>
      <c r="L44" s="79" t="str">
        <f t="shared" si="8"/>
        <v>FY30</v>
      </c>
    </row>
    <row r="45" spans="1:12" ht="15" thickBot="1" x14ac:dyDescent="0.35">
      <c r="A45" s="65" t="s">
        <v>219</v>
      </c>
      <c r="B45" s="80">
        <f>F40</f>
        <v>277</v>
      </c>
      <c r="C45" s="80">
        <f t="shared" ref="C45:L45" si="9">$G$41*C4</f>
        <v>323.70271160577869</v>
      </c>
      <c r="D45" s="80">
        <f t="shared" si="9"/>
        <v>344.74338786015426</v>
      </c>
      <c r="E45" s="80">
        <f t="shared" si="9"/>
        <v>367.15170807106421</v>
      </c>
      <c r="F45" s="80">
        <f t="shared" si="9"/>
        <v>391.01656909568334</v>
      </c>
      <c r="G45" s="80">
        <f t="shared" si="9"/>
        <v>416.43264608690271</v>
      </c>
      <c r="H45" s="80">
        <f t="shared" si="9"/>
        <v>433.0899519303789</v>
      </c>
      <c r="I45" s="80">
        <f t="shared" si="9"/>
        <v>450.4135500075941</v>
      </c>
      <c r="J45" s="80">
        <f t="shared" si="9"/>
        <v>468.43009200789788</v>
      </c>
      <c r="K45" s="80">
        <f t="shared" si="9"/>
        <v>487.16729568821381</v>
      </c>
      <c r="L45" s="81">
        <f t="shared" si="9"/>
        <v>506.65398751574241</v>
      </c>
    </row>
    <row r="46" spans="1:12" ht="15" thickBot="1" x14ac:dyDescent="0.35">
      <c r="A46" s="66"/>
    </row>
    <row r="47" spans="1:12" x14ac:dyDescent="0.3">
      <c r="A47" s="139" t="s">
        <v>221</v>
      </c>
      <c r="B47" s="67"/>
      <c r="C47" s="67"/>
      <c r="D47" s="67"/>
      <c r="E47" s="67"/>
      <c r="F47" s="67"/>
      <c r="G47" s="67"/>
      <c r="H47" s="61"/>
      <c r="I47" s="61"/>
      <c r="J47" s="61"/>
      <c r="K47" s="61"/>
      <c r="L47" s="62"/>
    </row>
    <row r="48" spans="1:12" x14ac:dyDescent="0.3">
      <c r="A48" s="137"/>
      <c r="B48" s="76" t="str">
        <f>B38</f>
        <v>FY16</v>
      </c>
      <c r="C48" s="76" t="str">
        <f t="shared" ref="C48:F48" si="10">C38</f>
        <v>FY17</v>
      </c>
      <c r="D48" s="76" t="str">
        <f t="shared" si="10"/>
        <v>FY18</v>
      </c>
      <c r="E48" s="76" t="str">
        <f t="shared" si="10"/>
        <v>FY19</v>
      </c>
      <c r="F48" s="76" t="str">
        <f t="shared" si="10"/>
        <v>FY20</v>
      </c>
      <c r="G48" s="76"/>
      <c r="H48" s="49"/>
      <c r="I48" s="49"/>
      <c r="J48" s="49"/>
      <c r="K48" s="49"/>
      <c r="L48" s="77"/>
    </row>
    <row r="49" spans="1:12" x14ac:dyDescent="0.3">
      <c r="A49" s="64" t="s">
        <v>222</v>
      </c>
      <c r="B49" s="76">
        <v>1304.8</v>
      </c>
      <c r="C49" s="76">
        <v>1401.5</v>
      </c>
      <c r="D49" s="76">
        <v>1633.3</v>
      </c>
      <c r="E49" s="76">
        <v>1911.6</v>
      </c>
      <c r="F49" s="76">
        <v>2042.3</v>
      </c>
      <c r="G49" s="138" t="s">
        <v>143</v>
      </c>
      <c r="H49" s="49"/>
      <c r="I49" s="49"/>
      <c r="J49" s="49"/>
      <c r="K49" s="49"/>
      <c r="L49" s="77"/>
    </row>
    <row r="50" spans="1:12" x14ac:dyDescent="0.3">
      <c r="A50" s="64" t="s">
        <v>172</v>
      </c>
      <c r="B50" s="76"/>
      <c r="C50" s="76">
        <f>C49-B49</f>
        <v>96.700000000000045</v>
      </c>
      <c r="D50" s="76">
        <f t="shared" ref="D50:F50" si="11">D49-C49</f>
        <v>231.79999999999995</v>
      </c>
      <c r="E50" s="76">
        <f t="shared" si="11"/>
        <v>278.29999999999995</v>
      </c>
      <c r="F50" s="76">
        <f t="shared" si="11"/>
        <v>130.70000000000005</v>
      </c>
      <c r="G50" s="138"/>
      <c r="H50" s="49"/>
      <c r="I50" s="49"/>
      <c r="J50" s="49"/>
      <c r="K50" s="49"/>
      <c r="L50" s="77"/>
    </row>
    <row r="51" spans="1:12" x14ac:dyDescent="0.3">
      <c r="A51" s="64" t="s">
        <v>223</v>
      </c>
      <c r="B51" s="76"/>
      <c r="C51" s="78">
        <f>C50/'Historical IS'!C4</f>
        <v>5.8109488612463227E-2</v>
      </c>
      <c r="D51" s="78">
        <f>D50/'Historical IS'!D4</f>
        <v>0.13829723763498597</v>
      </c>
      <c r="E51" s="78">
        <f>E50/'Historical IS'!E4</f>
        <v>0.15600650260664833</v>
      </c>
      <c r="F51" s="78">
        <f>F50/'Historical IS'!F4</f>
        <v>7.1967402676064121E-2</v>
      </c>
      <c r="G51" s="82">
        <f>AVERAGE(C51:F51)</f>
        <v>0.10609515788254041</v>
      </c>
      <c r="H51" s="49"/>
      <c r="I51" s="49"/>
      <c r="J51" s="49"/>
      <c r="K51" s="49"/>
      <c r="L51" s="77"/>
    </row>
    <row r="52" spans="1:12" x14ac:dyDescent="0.3">
      <c r="A52" s="64"/>
      <c r="B52" s="76"/>
      <c r="C52" s="76"/>
      <c r="D52" s="76"/>
      <c r="E52" s="76"/>
      <c r="F52" s="76"/>
      <c r="G52" s="76"/>
      <c r="H52" s="49"/>
      <c r="I52" s="49"/>
      <c r="J52" s="49"/>
      <c r="K52" s="49"/>
      <c r="L52" s="77"/>
    </row>
    <row r="53" spans="1:12" x14ac:dyDescent="0.3">
      <c r="A53" s="137" t="s">
        <v>224</v>
      </c>
      <c r="B53" s="76"/>
      <c r="C53" s="76"/>
      <c r="D53" s="76"/>
      <c r="E53" s="76"/>
      <c r="F53" s="76"/>
      <c r="G53" s="76"/>
      <c r="H53" s="49"/>
      <c r="I53" s="49"/>
      <c r="J53" s="49"/>
      <c r="K53" s="49"/>
      <c r="L53" s="77"/>
    </row>
    <row r="54" spans="1:12" x14ac:dyDescent="0.3">
      <c r="A54" s="137"/>
      <c r="B54" s="76" t="str">
        <f>B44</f>
        <v>FY20</v>
      </c>
      <c r="C54" s="76" t="str">
        <f t="shared" ref="C54:L54" si="12">C44</f>
        <v>FY21</v>
      </c>
      <c r="D54" s="76" t="str">
        <f t="shared" si="12"/>
        <v>FY22</v>
      </c>
      <c r="E54" s="76" t="str">
        <f t="shared" si="12"/>
        <v>FY23</v>
      </c>
      <c r="F54" s="76" t="str">
        <f t="shared" si="12"/>
        <v>FY24</v>
      </c>
      <c r="G54" s="76" t="str">
        <f t="shared" si="12"/>
        <v>FY25</v>
      </c>
      <c r="H54" s="76" t="str">
        <f t="shared" si="12"/>
        <v>FY26</v>
      </c>
      <c r="I54" s="76" t="str">
        <f t="shared" si="12"/>
        <v>FY27</v>
      </c>
      <c r="J54" s="76" t="str">
        <f t="shared" si="12"/>
        <v>FY28</v>
      </c>
      <c r="K54" s="76" t="str">
        <f t="shared" si="12"/>
        <v>FY29</v>
      </c>
      <c r="L54" s="79" t="str">
        <f t="shared" si="12"/>
        <v>FY30</v>
      </c>
    </row>
    <row r="55" spans="1:12" ht="15" thickBot="1" x14ac:dyDescent="0.35">
      <c r="A55" s="65" t="s">
        <v>225</v>
      </c>
      <c r="B55" s="80">
        <f>$G$51*B4</f>
        <v>192.67941623048162</v>
      </c>
      <c r="C55" s="80">
        <f t="shared" ref="C55:L55" si="13">$G$51*C4</f>
        <v>216.23466318356324</v>
      </c>
      <c r="D55" s="80">
        <f t="shared" si="13"/>
        <v>230.28991629049483</v>
      </c>
      <c r="E55" s="80">
        <f t="shared" si="13"/>
        <v>245.25876084937696</v>
      </c>
      <c r="F55" s="80">
        <f t="shared" si="13"/>
        <v>261.20058030458642</v>
      </c>
      <c r="G55" s="80">
        <f t="shared" si="13"/>
        <v>278.17861802438455</v>
      </c>
      <c r="H55" s="80">
        <f t="shared" si="13"/>
        <v>289.30576274535991</v>
      </c>
      <c r="I55" s="80">
        <f t="shared" si="13"/>
        <v>300.87799325517437</v>
      </c>
      <c r="J55" s="80">
        <f t="shared" si="13"/>
        <v>312.91311298538136</v>
      </c>
      <c r="K55" s="80">
        <f t="shared" si="13"/>
        <v>325.42963750479663</v>
      </c>
      <c r="L55" s="81">
        <f t="shared" si="13"/>
        <v>338.44682300498852</v>
      </c>
    </row>
  </sheetData>
  <mergeCells count="7">
    <mergeCell ref="A53:A54"/>
    <mergeCell ref="G39:G40"/>
    <mergeCell ref="G49:G50"/>
    <mergeCell ref="A1:F1"/>
    <mergeCell ref="A37:A38"/>
    <mergeCell ref="A43:A44"/>
    <mergeCell ref="A47:A48"/>
  </mergeCells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F5222-B3E2-482A-9486-7F87CE22E676}">
  <sheetPr>
    <tabColor rgb="FF92D050"/>
  </sheetPr>
  <dimension ref="A3:L52"/>
  <sheetViews>
    <sheetView topLeftCell="A32" workbookViewId="0">
      <selection activeCell="C52" sqref="C51:J52"/>
    </sheetView>
  </sheetViews>
  <sheetFormatPr defaultRowHeight="14.4" x14ac:dyDescent="0.3"/>
  <cols>
    <col min="1" max="1" width="49.21875" customWidth="1"/>
  </cols>
  <sheetData>
    <row r="3" spans="1:12" ht="21.6" thickBot="1" x14ac:dyDescent="0.45">
      <c r="A3" s="9" t="s">
        <v>217</v>
      </c>
      <c r="B3" s="11" t="s">
        <v>35</v>
      </c>
      <c r="C3" s="11" t="s">
        <v>184</v>
      </c>
      <c r="D3" s="11" t="s">
        <v>185</v>
      </c>
      <c r="E3" s="11" t="s">
        <v>186</v>
      </c>
      <c r="F3" s="11" t="s">
        <v>187</v>
      </c>
      <c r="G3" s="11" t="s">
        <v>188</v>
      </c>
      <c r="H3" s="11" t="s">
        <v>189</v>
      </c>
      <c r="I3" s="11" t="s">
        <v>190</v>
      </c>
      <c r="J3" s="11" t="s">
        <v>191</v>
      </c>
      <c r="K3" s="11" t="s">
        <v>192</v>
      </c>
      <c r="L3" s="11" t="s">
        <v>193</v>
      </c>
    </row>
    <row r="4" spans="1:12" x14ac:dyDescent="0.3">
      <c r="A4" s="4" t="s">
        <v>0</v>
      </c>
      <c r="B4" s="58">
        <f>'Historical BS'!F4</f>
        <v>355.1</v>
      </c>
      <c r="C4" s="58">
        <f>C19-C18-SUM(C5:C8)</f>
        <v>476.12846855910811</v>
      </c>
      <c r="D4" s="58">
        <f t="shared" ref="D4:L4" si="0">D19-D18-SUM(D5:D8)</f>
        <v>507.07681901544976</v>
      </c>
      <c r="E4" s="58">
        <f t="shared" si="0"/>
        <v>540.03681225145419</v>
      </c>
      <c r="F4" s="58">
        <f t="shared" si="0"/>
        <v>575.13920504779867</v>
      </c>
      <c r="G4" s="58">
        <f t="shared" si="0"/>
        <v>612.52325337590423</v>
      </c>
      <c r="H4" s="58">
        <f t="shared" si="0"/>
        <v>637.0241835109415</v>
      </c>
      <c r="I4" s="58">
        <f t="shared" si="0"/>
        <v>662.50515085137818</v>
      </c>
      <c r="J4" s="58">
        <f t="shared" si="0"/>
        <v>689.00535688543414</v>
      </c>
      <c r="K4" s="58">
        <f t="shared" si="0"/>
        <v>716.56557116085105</v>
      </c>
      <c r="L4" s="58">
        <f t="shared" si="0"/>
        <v>745.22819400728474</v>
      </c>
    </row>
    <row r="5" spans="1:12" x14ac:dyDescent="0.3">
      <c r="A5" s="4" t="s">
        <v>1</v>
      </c>
      <c r="B5" s="58">
        <f>'Historical BS'!F5</f>
        <v>222</v>
      </c>
      <c r="C5" s="58">
        <f>'Assumption Sheet'!$D$12/365*'Proj IS'!C4</f>
        <v>257.19399232876714</v>
      </c>
      <c r="D5" s="58">
        <f>'Assumption Sheet'!$D$12/365*'Proj IS'!D4</f>
        <v>273.91160183013693</v>
      </c>
      <c r="E5" s="58">
        <f>'Assumption Sheet'!$D$12/365*'Proj IS'!E4</f>
        <v>291.71585594909584</v>
      </c>
      <c r="F5" s="58">
        <f>'Assumption Sheet'!$D$12/365*'Proj IS'!F4</f>
        <v>310.67738658578702</v>
      </c>
      <c r="G5" s="58">
        <f>'Assumption Sheet'!$D$12/365*'Proj IS'!G4</f>
        <v>330.87141671386314</v>
      </c>
      <c r="H5" s="58">
        <f>'Assumption Sheet'!$D$12/365*'Proj IS'!H4</f>
        <v>344.10627338241767</v>
      </c>
      <c r="I5" s="58">
        <f>'Assumption Sheet'!$D$12/365*'Proj IS'!I4</f>
        <v>357.8705243177144</v>
      </c>
      <c r="J5" s="58">
        <f>'Assumption Sheet'!$D$12/365*'Proj IS'!J4</f>
        <v>372.18534529042302</v>
      </c>
      <c r="K5" s="58">
        <f>'Assumption Sheet'!$D$12/365*'Proj IS'!K4</f>
        <v>387.07275910203998</v>
      </c>
      <c r="L5" s="58">
        <f>'Assumption Sheet'!$D$12/365*'Proj IS'!L4</f>
        <v>402.55566946612163</v>
      </c>
    </row>
    <row r="6" spans="1:12" x14ac:dyDescent="0.3">
      <c r="A6" s="4" t="s">
        <v>2</v>
      </c>
      <c r="B6" s="58">
        <f>'Historical BS'!F6</f>
        <v>170.7</v>
      </c>
      <c r="C6" s="58">
        <f>'Assumption Sheet'!$D$13/365*-'Proj IS'!C6</f>
        <v>171.25103962003453</v>
      </c>
      <c r="D6" s="58">
        <f>'Assumption Sheet'!$D$13/365*-'Proj IS'!D6</f>
        <v>182.38235719533674</v>
      </c>
      <c r="E6" s="58">
        <f>'Assumption Sheet'!$D$13/365*-'Proj IS'!E6</f>
        <v>194.23721041303361</v>
      </c>
      <c r="F6" s="58">
        <f>'Assumption Sheet'!$D$13/365*-'Proj IS'!F6</f>
        <v>206.86262908988078</v>
      </c>
      <c r="G6" s="58">
        <f>'Assumption Sheet'!$D$13/365*-'Proj IS'!G6</f>
        <v>220.30869998072299</v>
      </c>
      <c r="H6" s="58">
        <f>'Assumption Sheet'!$D$13/365*-'Proj IS'!H6</f>
        <v>229.12104797995192</v>
      </c>
      <c r="I6" s="58">
        <f>'Assumption Sheet'!$D$13/365*-'Proj IS'!I6</f>
        <v>238.28588989915002</v>
      </c>
      <c r="J6" s="58">
        <f>'Assumption Sheet'!$D$13/365*-'Proj IS'!J6</f>
        <v>247.81732549511605</v>
      </c>
      <c r="K6" s="58">
        <f>'Assumption Sheet'!$D$13/365*-'Proj IS'!K6</f>
        <v>257.73001851492074</v>
      </c>
      <c r="L6" s="58">
        <f>'Assumption Sheet'!$D$13/365*-'Proj IS'!L6</f>
        <v>268.03921925551759</v>
      </c>
    </row>
    <row r="7" spans="1:12" x14ac:dyDescent="0.3">
      <c r="A7" s="4" t="s">
        <v>3</v>
      </c>
      <c r="B7" s="58">
        <f>'Historical BS'!F7</f>
        <v>2.8</v>
      </c>
      <c r="C7" s="58">
        <f>$C$19*'Historical BS'!I7</f>
        <v>2.5711470561216165</v>
      </c>
      <c r="D7" s="58">
        <f>$D$19*'Historical BS'!I7</f>
        <v>2.7382716147695212</v>
      </c>
      <c r="E7" s="58">
        <f>$E$19*'Historical BS'!I7</f>
        <v>2.9162592697295402</v>
      </c>
      <c r="F7" s="58">
        <f>$F$19*'Historical BS'!I7</f>
        <v>3.10581612226196</v>
      </c>
      <c r="G7" s="58">
        <f>$G$19*'Historical BS'!I7</f>
        <v>3.307694170208987</v>
      </c>
      <c r="H7" s="58">
        <f>$H$19*'Historical BS'!I7</f>
        <v>3.4400019370173465</v>
      </c>
      <c r="I7" s="58">
        <f>$I$19*'Historical BS'!I7</f>
        <v>3.5776020144980407</v>
      </c>
      <c r="J7" s="58">
        <f>$J$19*'Historical BS'!I7</f>
        <v>3.7207060950779622</v>
      </c>
      <c r="K7" s="58">
        <f>$K$19*'Historical BS'!I7</f>
        <v>3.8695343388810808</v>
      </c>
      <c r="L7" s="58">
        <f>$L$19*'Historical BS'!I7</f>
        <v>4.0243157124363238</v>
      </c>
    </row>
    <row r="8" spans="1:12" x14ac:dyDescent="0.3">
      <c r="A8" s="4" t="s">
        <v>4</v>
      </c>
      <c r="B8" s="58">
        <f>'Historical BS'!F8</f>
        <v>28.5</v>
      </c>
      <c r="C8" s="58">
        <f>$C$19*'Historical BS'!I8</f>
        <v>25.787575934661636</v>
      </c>
      <c r="D8" s="58">
        <f>$D$19*'Historical BS'!I8</f>
        <v>27.463768370414641</v>
      </c>
      <c r="E8" s="58">
        <f>$E$19*'Historical BS'!I8</f>
        <v>29.248913314491592</v>
      </c>
      <c r="F8" s="58">
        <f>$F$19*'Historical BS'!I8</f>
        <v>31.150092679933547</v>
      </c>
      <c r="G8" s="58">
        <f>$G$19*'Historical BS'!I8</f>
        <v>33.174848704129225</v>
      </c>
      <c r="H8" s="58">
        <f>$H$19*'Historical BS'!I8</f>
        <v>34.501842652294393</v>
      </c>
      <c r="I8" s="58">
        <f>$I$19*'Historical BS'!I8</f>
        <v>35.881916358386171</v>
      </c>
      <c r="J8" s="58">
        <f>$J$19*'Historical BS'!I8</f>
        <v>37.317193012721617</v>
      </c>
      <c r="K8" s="58">
        <f>$K$19*'Historical BS'!I8</f>
        <v>38.809880733230479</v>
      </c>
      <c r="L8" s="58">
        <f>$L$19*'Historical BS'!I8</f>
        <v>40.3622759625597</v>
      </c>
    </row>
    <row r="9" spans="1:12" s="1" customFormat="1" x14ac:dyDescent="0.3">
      <c r="A9" s="5" t="s">
        <v>5</v>
      </c>
      <c r="B9" s="59">
        <f>SUM(B4:B8)</f>
        <v>779.09999999999991</v>
      </c>
      <c r="C9" s="59">
        <f t="shared" ref="C9:L9" si="1">SUM(C4:C8)</f>
        <v>932.93222349869302</v>
      </c>
      <c r="D9" s="59">
        <f t="shared" si="1"/>
        <v>993.57281802610748</v>
      </c>
      <c r="E9" s="59">
        <f t="shared" si="1"/>
        <v>1058.1550511978048</v>
      </c>
      <c r="F9" s="59">
        <f t="shared" si="1"/>
        <v>1126.935129525662</v>
      </c>
      <c r="G9" s="59">
        <f t="shared" si="1"/>
        <v>1200.1859129448287</v>
      </c>
      <c r="H9" s="59">
        <f t="shared" si="1"/>
        <v>1248.193349462623</v>
      </c>
      <c r="I9" s="59">
        <f t="shared" si="1"/>
        <v>1298.121083441127</v>
      </c>
      <c r="J9" s="59">
        <f t="shared" si="1"/>
        <v>1350.0459267787728</v>
      </c>
      <c r="K9" s="59">
        <f t="shared" si="1"/>
        <v>1404.0477638499233</v>
      </c>
      <c r="L9" s="59">
        <f t="shared" si="1"/>
        <v>1460.2096744039202</v>
      </c>
    </row>
    <row r="10" spans="1:12" x14ac:dyDescent="0.3">
      <c r="A10" s="4" t="s">
        <v>6</v>
      </c>
      <c r="B10" s="58">
        <f>'Historical BS'!F10</f>
        <v>6.3</v>
      </c>
      <c r="C10" s="58">
        <f>$C$19*'Historical BS'!I10</f>
        <v>6.8078269248221304</v>
      </c>
      <c r="D10" s="58">
        <f>$D$19*'Historical BS'!I10</f>
        <v>7.2503356749355685</v>
      </c>
      <c r="E10" s="58">
        <f>$E$19*'Historical BS'!I10</f>
        <v>7.7216074938063803</v>
      </c>
      <c r="F10" s="58">
        <f>$F$19*'Historical BS'!I10</f>
        <v>8.223511980903794</v>
      </c>
      <c r="G10" s="58">
        <f>$G$19*'Historical BS'!I10</f>
        <v>8.7580402596625397</v>
      </c>
      <c r="H10" s="58">
        <f>$H$19*'Historical BS'!I10</f>
        <v>9.1083618700490412</v>
      </c>
      <c r="I10" s="58">
        <f>$I$19*'Historical BS'!I10</f>
        <v>9.4726963448510038</v>
      </c>
      <c r="J10" s="58">
        <f>$J$19*'Historical BS'!I10</f>
        <v>9.8516041986450436</v>
      </c>
      <c r="K10" s="58">
        <f>$K$19*'Historical BS'!I10</f>
        <v>10.245668366590847</v>
      </c>
      <c r="L10" s="58">
        <f>$L$19*'Historical BS'!I10</f>
        <v>10.655495101254481</v>
      </c>
    </row>
    <row r="11" spans="1:12" hidden="1" x14ac:dyDescent="0.3">
      <c r="A11" s="4" t="s">
        <v>7</v>
      </c>
      <c r="B11" s="58">
        <f>'Historical BS'!F11</f>
        <v>184.5</v>
      </c>
      <c r="C11" s="58">
        <f>$C$19*'Historical BS'!I11</f>
        <v>0</v>
      </c>
      <c r="D11" s="58">
        <f>$D$19*'Historical BS'!I11</f>
        <v>0</v>
      </c>
      <c r="E11" s="58">
        <f>$E$19*'Historical BS'!I11</f>
        <v>0</v>
      </c>
      <c r="F11" s="58">
        <f>$F$19*'Historical BS'!I11</f>
        <v>0</v>
      </c>
      <c r="G11" s="58">
        <f>$G$19*'Historical BS'!I11</f>
        <v>0</v>
      </c>
      <c r="H11" s="58">
        <f>$H$19*'Historical BS'!I11</f>
        <v>0</v>
      </c>
      <c r="I11" s="58">
        <f>$I$19*'Historical BS'!I11</f>
        <v>0</v>
      </c>
      <c r="J11" s="58">
        <f>$J$19*'Historical BS'!I11</f>
        <v>0</v>
      </c>
      <c r="K11" s="58">
        <f>$K$19*'Historical BS'!I11</f>
        <v>0</v>
      </c>
      <c r="L11" s="58">
        <f>$L$19*'Historical BS'!I11</f>
        <v>0</v>
      </c>
    </row>
    <row r="12" spans="1:12" x14ac:dyDescent="0.3">
      <c r="A12" s="4" t="s">
        <v>8</v>
      </c>
      <c r="B12" s="58">
        <f>'Historical BS'!F12</f>
        <v>30.5</v>
      </c>
      <c r="C12" s="58">
        <f>$C$19*'Historical BS'!I12</f>
        <v>15.585932811520957</v>
      </c>
      <c r="D12" s="58">
        <f>$D$19*'Historical BS'!I12</f>
        <v>16.59901844426982</v>
      </c>
      <c r="E12" s="58">
        <f>$E$19*'Historical BS'!I12</f>
        <v>17.677954643147356</v>
      </c>
      <c r="F12" s="58">
        <f>$F$19*'Historical BS'!I12</f>
        <v>18.827021694951934</v>
      </c>
      <c r="G12" s="58">
        <f>$G$19*'Historical BS'!I12</f>
        <v>20.050778105123808</v>
      </c>
      <c r="H12" s="58">
        <f>$H$19*'Historical BS'!I12</f>
        <v>20.852809229328759</v>
      </c>
      <c r="I12" s="58">
        <f>$I$19*'Historical BS'!I12</f>
        <v>21.686921598501911</v>
      </c>
      <c r="J12" s="58">
        <f>$J$19*'Historical BS'!I12</f>
        <v>22.554398462441988</v>
      </c>
      <c r="K12" s="58">
        <f>$K$19*'Historical BS'!I12</f>
        <v>23.456574400939665</v>
      </c>
      <c r="L12" s="58">
        <f>$L$19*'Historical BS'!I12</f>
        <v>24.394837376977254</v>
      </c>
    </row>
    <row r="13" spans="1:12" x14ac:dyDescent="0.3">
      <c r="A13" s="4" t="s">
        <v>9</v>
      </c>
      <c r="B13" s="58">
        <f>'Historical BS'!F13</f>
        <v>986.6</v>
      </c>
      <c r="C13" s="58">
        <f>$C$19*'Historical BS'!I13</f>
        <v>1155.8255182525327</v>
      </c>
      <c r="D13" s="58">
        <f>$D$19*'Historical BS'!I13</f>
        <v>1230.9541769389473</v>
      </c>
      <c r="E13" s="58">
        <f>$E$19*'Historical BS'!I13</f>
        <v>1310.9661984399788</v>
      </c>
      <c r="F13" s="58">
        <f>$F$19*'Historical BS'!I13</f>
        <v>1396.1790013385773</v>
      </c>
      <c r="G13" s="58">
        <f>$G$19*'Historical BS'!I13</f>
        <v>1486.9306364255847</v>
      </c>
      <c r="H13" s="58">
        <f>$H$19*'Historical BS'!I13</f>
        <v>1546.4078618826081</v>
      </c>
      <c r="I13" s="58">
        <f>$I$19*'Historical BS'!I13</f>
        <v>1608.2641763579124</v>
      </c>
      <c r="J13" s="58">
        <f>$J$19*'Historical BS'!I13</f>
        <v>1672.594743412229</v>
      </c>
      <c r="K13" s="58">
        <f>$K$19*'Historical BS'!I13</f>
        <v>1739.4985331487183</v>
      </c>
      <c r="L13" s="58">
        <f>$L$19*'Historical BS'!I13</f>
        <v>1809.078474474667</v>
      </c>
    </row>
    <row r="14" spans="1:12" x14ac:dyDescent="0.3">
      <c r="A14" s="4" t="s">
        <v>42</v>
      </c>
      <c r="B14" s="58">
        <f>'Historical BS'!F14</f>
        <v>141.1</v>
      </c>
      <c r="C14" s="58">
        <f>$C$19*'Historical BS'!I14</f>
        <v>1220.5404498254291</v>
      </c>
      <c r="D14" s="58">
        <f>$D$19*'Historical BS'!I14</f>
        <v>1299.8755790640819</v>
      </c>
      <c r="E14" s="58">
        <f>$E$19*'Historical BS'!I14</f>
        <v>1384.367491703247</v>
      </c>
      <c r="F14" s="58">
        <f>$F$19*'Historical BS'!I14</f>
        <v>1474.351378663958</v>
      </c>
      <c r="G14" s="58">
        <f>$G$19*'Historical BS'!I14</f>
        <v>1570.1842182771152</v>
      </c>
      <c r="H14" s="58">
        <f>$H$19*'Historical BS'!I14</f>
        <v>1632.9915870081998</v>
      </c>
      <c r="I14" s="58">
        <f>$I$19*'Historical BS'!I14</f>
        <v>1698.3112504885278</v>
      </c>
      <c r="J14" s="58">
        <f>$J$19*'Historical BS'!I14</f>
        <v>1766.243700508069</v>
      </c>
      <c r="K14" s="58">
        <f>$K$19*'Historical BS'!I14</f>
        <v>1836.8934485283917</v>
      </c>
      <c r="L14" s="58">
        <f>$L$19*'Historical BS'!I14</f>
        <v>1910.3691864695274</v>
      </c>
    </row>
    <row r="15" spans="1:12" x14ac:dyDescent="0.3">
      <c r="A15" s="4" t="s">
        <v>10</v>
      </c>
      <c r="B15" s="58">
        <f>'Historical BS'!F15</f>
        <v>2292.8000000000002</v>
      </c>
      <c r="C15" s="58">
        <f>$C$19*'Historical BS'!I15</f>
        <v>1732.993676911133</v>
      </c>
      <c r="D15" s="58">
        <f>$D$19*'Historical BS'!I15</f>
        <v>1845.6382659103567</v>
      </c>
      <c r="E15" s="58">
        <f>$E$19*'Historical BS'!I15</f>
        <v>1965.6047531945296</v>
      </c>
      <c r="F15" s="58">
        <f>$F$19*'Historical BS'!I15</f>
        <v>2093.3690621521741</v>
      </c>
      <c r="G15" s="58">
        <f>$G$19*'Historical BS'!I15</f>
        <v>2229.4380511920654</v>
      </c>
      <c r="H15" s="58">
        <f>$H$19*'Historical BS'!I15</f>
        <v>2318.6155732397478</v>
      </c>
      <c r="I15" s="58">
        <f>$I$19*'Historical BS'!I15</f>
        <v>2411.3601961693375</v>
      </c>
      <c r="J15" s="58">
        <f>$J$19*'Historical BS'!I15</f>
        <v>2507.8146040161114</v>
      </c>
      <c r="K15" s="58">
        <f>$K$19*'Historical BS'!I15</f>
        <v>2608.1271881767557</v>
      </c>
      <c r="L15" s="58">
        <f>$L$19*'Historical BS'!I15</f>
        <v>2712.4522757038262</v>
      </c>
    </row>
    <row r="16" spans="1:12" x14ac:dyDescent="0.3">
      <c r="A16" s="4" t="s">
        <v>17</v>
      </c>
      <c r="B16" s="58">
        <f>'Historical BS'!F16</f>
        <v>178.5</v>
      </c>
      <c r="C16" s="58">
        <f>$C$19*'Historical BS'!I16</f>
        <v>106.97458197036508</v>
      </c>
      <c r="D16" s="58">
        <f>$D$19*'Historical BS'!I16</f>
        <v>113.92792979843881</v>
      </c>
      <c r="E16" s="58">
        <f>$E$19*'Historical BS'!I16</f>
        <v>121.33324523533733</v>
      </c>
      <c r="F16" s="58">
        <f>$F$19*'Historical BS'!I16</f>
        <v>129.21990617563424</v>
      </c>
      <c r="G16" s="58">
        <f>$G$19*'Historical BS'!I16</f>
        <v>137.61920007705046</v>
      </c>
      <c r="H16" s="58">
        <f>$H$19*'Historical BS'!I16</f>
        <v>143.12396808013247</v>
      </c>
      <c r="I16" s="58">
        <f>$I$19*'Historical BS'!I16</f>
        <v>148.84892680333778</v>
      </c>
      <c r="J16" s="58">
        <f>$J$19*'Historical BS'!I16</f>
        <v>154.80288387547128</v>
      </c>
      <c r="K16" s="58">
        <f>$K$19*'Historical BS'!I16</f>
        <v>160.99499923049015</v>
      </c>
      <c r="L16" s="58">
        <f>$L$19*'Historical BS'!I16</f>
        <v>167.43479919970974</v>
      </c>
    </row>
    <row r="17" spans="1:12" x14ac:dyDescent="0.3">
      <c r="A17" s="4" t="s">
        <v>11</v>
      </c>
      <c r="B17" s="58">
        <f>'Historical BS'!F17</f>
        <v>23</v>
      </c>
      <c r="C17" s="58">
        <f>$C$19*'Historical BS'!I17</f>
        <v>15.832707596375357</v>
      </c>
      <c r="D17" s="58">
        <f>$D$19*'Historical BS'!I17</f>
        <v>16.861833590139756</v>
      </c>
      <c r="E17" s="58">
        <f>$E$19*'Historical BS'!I17</f>
        <v>17.957852773498839</v>
      </c>
      <c r="F17" s="58">
        <f>$F$19*'Historical BS'!I17</f>
        <v>19.125113203776262</v>
      </c>
      <c r="G17" s="58">
        <f>$G$19*'Historical BS'!I17</f>
        <v>20.368245562021716</v>
      </c>
      <c r="H17" s="58">
        <f>$H$19*'Historical BS'!I17</f>
        <v>21.182975384502587</v>
      </c>
      <c r="I17" s="58">
        <f>$I$19*'Historical BS'!I17</f>
        <v>22.030294399882688</v>
      </c>
      <c r="J17" s="58">
        <f>$J$19*'Historical BS'!I17</f>
        <v>22.911506175877996</v>
      </c>
      <c r="K17" s="58">
        <f>$K$19*'Historical BS'!I17</f>
        <v>23.827966422913118</v>
      </c>
      <c r="L17" s="58">
        <f>$L$19*'Historical BS'!I17</f>
        <v>24.781085079829644</v>
      </c>
    </row>
    <row r="18" spans="1:12" s="1" customFormat="1" x14ac:dyDescent="0.3">
      <c r="A18" s="5" t="s">
        <v>12</v>
      </c>
      <c r="B18" s="59">
        <f>SUM(B10:B17)</f>
        <v>3843.3</v>
      </c>
      <c r="C18" s="59">
        <f t="shared" ref="C18:L18" si="2">SUM(C10:C17)</f>
        <v>4254.5606942921777</v>
      </c>
      <c r="D18" s="59">
        <f t="shared" si="2"/>
        <v>4531.1071394211694</v>
      </c>
      <c r="E18" s="59">
        <f t="shared" si="2"/>
        <v>4825.6291034835449</v>
      </c>
      <c r="F18" s="59">
        <f t="shared" si="2"/>
        <v>5139.2949952099752</v>
      </c>
      <c r="G18" s="59">
        <f t="shared" si="2"/>
        <v>5473.3491698986245</v>
      </c>
      <c r="H18" s="59">
        <f t="shared" si="2"/>
        <v>5692.2831366945684</v>
      </c>
      <c r="I18" s="59">
        <f t="shared" si="2"/>
        <v>5919.9744621623522</v>
      </c>
      <c r="J18" s="59">
        <f t="shared" si="2"/>
        <v>6156.7734406488453</v>
      </c>
      <c r="K18" s="59">
        <f t="shared" si="2"/>
        <v>6403.0443782747998</v>
      </c>
      <c r="L18" s="59">
        <f t="shared" si="2"/>
        <v>6659.1661534057921</v>
      </c>
    </row>
    <row r="19" spans="1:12" s="1" customFormat="1" ht="17.399999999999999" x14ac:dyDescent="0.35">
      <c r="A19" s="6" t="s">
        <v>13</v>
      </c>
      <c r="B19" s="59">
        <f>'Historical BS'!F19</f>
        <v>4622.3999999999996</v>
      </c>
      <c r="C19" s="59">
        <f>B19*(1+'Assumption Sheet'!D4)</f>
        <v>5187.4929177908707</v>
      </c>
      <c r="D19" s="59">
        <f>C19*(1+'Assumption Sheet'!$D$5)</f>
        <v>5524.679957447277</v>
      </c>
      <c r="E19" s="59">
        <f>D19*(1+'Assumption Sheet'!$D$5)</f>
        <v>5883.7841546813497</v>
      </c>
      <c r="F19" s="59">
        <f>E19*(1+'Assumption Sheet'!$D$5)</f>
        <v>6266.2301247356372</v>
      </c>
      <c r="G19" s="59">
        <f>F19*(1+'Assumption Sheet'!$D$5)</f>
        <v>6673.535082843453</v>
      </c>
      <c r="H19" s="59">
        <f>G19*(1+'Assumption Sheet'!$D$6)</f>
        <v>6940.4764861571912</v>
      </c>
      <c r="I19" s="59">
        <f>H19*(1+'Assumption Sheet'!$D$6)</f>
        <v>7218.095545603479</v>
      </c>
      <c r="J19" s="59">
        <f>I19*(1+'Assumption Sheet'!$D$6)</f>
        <v>7506.8193674276181</v>
      </c>
      <c r="K19" s="59">
        <f>J19*(1+'Assumption Sheet'!$D$6)</f>
        <v>7807.0921421247231</v>
      </c>
      <c r="L19" s="59">
        <f>K19*(1+'Assumption Sheet'!$D$6)</f>
        <v>8119.3758278097121</v>
      </c>
    </row>
    <row r="20" spans="1:12" x14ac:dyDescent="0.3">
      <c r="A20" s="4" t="s">
        <v>14</v>
      </c>
      <c r="B20" s="58">
        <f>'Historical BS'!F20</f>
        <v>501.2</v>
      </c>
      <c r="C20" s="58">
        <f>'Assumption Sheet'!$D$14/365*-'Proj IS'!C6</f>
        <v>523.93468908122315</v>
      </c>
      <c r="D20" s="58">
        <f>'Assumption Sheet'!$D$14/365*-'Proj IS'!D6</f>
        <v>557.99044387150252</v>
      </c>
      <c r="E20" s="58">
        <f>'Assumption Sheet'!$D$14/365*-'Proj IS'!E6</f>
        <v>594.25982272315014</v>
      </c>
      <c r="F20" s="58">
        <f>'Assumption Sheet'!$D$14/365*-'Proj IS'!F6</f>
        <v>632.88671120015488</v>
      </c>
      <c r="G20" s="58">
        <f>'Assumption Sheet'!$D$14/365*-'Proj IS'!G6</f>
        <v>674.0243474281649</v>
      </c>
      <c r="H20" s="58">
        <f>'Assumption Sheet'!$D$14/365*-'Proj IS'!H6</f>
        <v>700.98532132529147</v>
      </c>
      <c r="I20" s="58">
        <f>'Assumption Sheet'!$D$14/365*-'Proj IS'!I6</f>
        <v>729.02473417830322</v>
      </c>
      <c r="J20" s="58">
        <f>'Assumption Sheet'!$D$14/365*-'Proj IS'!J6</f>
        <v>758.18572354543539</v>
      </c>
      <c r="K20" s="58">
        <f>'Assumption Sheet'!$D$14/365*-'Proj IS'!K6</f>
        <v>788.51315248725291</v>
      </c>
      <c r="L20" s="58">
        <f>'Assumption Sheet'!$D$14/365*-'Proj IS'!L6</f>
        <v>820.0536785867431</v>
      </c>
    </row>
    <row r="21" spans="1:12" x14ac:dyDescent="0.3">
      <c r="A21" s="4" t="s">
        <v>15</v>
      </c>
      <c r="B21" s="58">
        <f>'Historical BS'!F21</f>
        <v>24</v>
      </c>
      <c r="C21" s="58">
        <f>C41-C40-C33-C20-SUM(C22:C25)</f>
        <v>108.11406356923806</v>
      </c>
      <c r="D21" s="58">
        <f t="shared" ref="D21:L21" si="3">D41-D40-D33-D20-SUM(D22:D25)</f>
        <v>115.3364777012377</v>
      </c>
      <c r="E21" s="58">
        <f t="shared" si="3"/>
        <v>123.02834875181884</v>
      </c>
      <c r="F21" s="58">
        <f t="shared" si="3"/>
        <v>131.22019142068692</v>
      </c>
      <c r="G21" s="58">
        <f t="shared" si="3"/>
        <v>139.94450386303123</v>
      </c>
      <c r="H21" s="58">
        <f t="shared" si="3"/>
        <v>145.66228401755211</v>
      </c>
      <c r="I21" s="58">
        <f t="shared" si="3"/>
        <v>151.60877537825547</v>
      </c>
      <c r="J21" s="58">
        <f t="shared" si="3"/>
        <v>157.79312639338548</v>
      </c>
      <c r="K21" s="58">
        <f t="shared" si="3"/>
        <v>164.22485144912076</v>
      </c>
      <c r="L21" s="58">
        <f t="shared" si="3"/>
        <v>170.91384550708517</v>
      </c>
    </row>
    <row r="22" spans="1:12" x14ac:dyDescent="0.3">
      <c r="A22" s="4" t="s">
        <v>16</v>
      </c>
      <c r="B22" s="58">
        <f>'Historical BS'!F22</f>
        <v>37.299999999999997</v>
      </c>
      <c r="C22" s="58">
        <f>$C$19*'Historical BS'!I22</f>
        <v>42.947057423037094</v>
      </c>
      <c r="D22" s="58">
        <f>$D$19*'Historical BS'!I22</f>
        <v>45.738616155534508</v>
      </c>
      <c r="E22" s="58">
        <f>$E$19*'Historical BS'!I22</f>
        <v>48.711626205644244</v>
      </c>
      <c r="F22" s="58">
        <f>$F$19*'Historical BS'!I22</f>
        <v>51.877881909011123</v>
      </c>
      <c r="G22" s="58">
        <f>$G$19*'Historical BS'!I22</f>
        <v>55.249944233096834</v>
      </c>
      <c r="H22" s="58">
        <f>$H$19*'Historical BS'!I22</f>
        <v>57.459942002420711</v>
      </c>
      <c r="I22" s="58">
        <f>$I$19*'Historical BS'!I22</f>
        <v>59.758339682517537</v>
      </c>
      <c r="J22" s="58">
        <f>$J$19*'Historical BS'!I22</f>
        <v>62.148673269818239</v>
      </c>
      <c r="K22" s="58">
        <f>$K$19*'Historical BS'!I22</f>
        <v>64.634620200610968</v>
      </c>
      <c r="L22" s="58">
        <f>$L$19*'Historical BS'!I22</f>
        <v>67.220005008635411</v>
      </c>
    </row>
    <row r="23" spans="1:12" x14ac:dyDescent="0.3">
      <c r="A23" s="4" t="s">
        <v>17</v>
      </c>
      <c r="B23" s="58">
        <f>'Historical BS'!F23</f>
        <v>50.5</v>
      </c>
      <c r="C23" s="58">
        <f>$C$19*'Historical BS'!I23</f>
        <v>42.283373538490878</v>
      </c>
      <c r="D23" s="58">
        <f>$D$19*'Historical BS'!I23</f>
        <v>45.031792818492782</v>
      </c>
      <c r="E23" s="58">
        <f>$E$19*'Historical BS'!I23</f>
        <v>47.958859351694812</v>
      </c>
      <c r="F23" s="58">
        <f>$F$19*'Historical BS'!I23</f>
        <v>51.076185209554971</v>
      </c>
      <c r="G23" s="58">
        <f>$G$19*'Historical BS'!I23</f>
        <v>54.396137248176039</v>
      </c>
      <c r="H23" s="58">
        <f>$H$19*'Historical BS'!I23</f>
        <v>56.571982738103081</v>
      </c>
      <c r="I23" s="58">
        <f>$I$19*'Historical BS'!I23</f>
        <v>58.834862047627212</v>
      </c>
      <c r="J23" s="58">
        <f>$J$19*'Historical BS'!I23</f>
        <v>61.188256529532296</v>
      </c>
      <c r="K23" s="58">
        <f>$K$19*'Historical BS'!I23</f>
        <v>63.635786790713588</v>
      </c>
      <c r="L23" s="58">
        <f>$L$19*'Historical BS'!I23</f>
        <v>66.181218262342142</v>
      </c>
    </row>
    <row r="24" spans="1:12" x14ac:dyDescent="0.3">
      <c r="A24" s="4" t="s">
        <v>18</v>
      </c>
      <c r="B24" s="58">
        <f>'Historical BS'!F24</f>
        <v>14.1</v>
      </c>
      <c r="C24" s="58">
        <f>$C$19*'Historical BS'!I24</f>
        <v>21.571585646231838</v>
      </c>
      <c r="D24" s="58">
        <f>$D$19*'Historical BS'!I24</f>
        <v>22.973738713236909</v>
      </c>
      <c r="E24" s="58">
        <f>$E$19*'Historical BS'!I24</f>
        <v>24.467031729597306</v>
      </c>
      <c r="F24" s="58">
        <f>$F$19*'Historical BS'!I24</f>
        <v>26.057388792021129</v>
      </c>
      <c r="G24" s="58">
        <f>$G$19*'Historical BS'!I24</f>
        <v>27.7511190635025</v>
      </c>
      <c r="H24" s="58">
        <f>$H$19*'Historical BS'!I24</f>
        <v>28.861163826042599</v>
      </c>
      <c r="I24" s="58">
        <f>$I$19*'Historical BS'!I24</f>
        <v>30.015610379084304</v>
      </c>
      <c r="J24" s="58">
        <f>$J$19*'Historical BS'!I24</f>
        <v>31.216234794247676</v>
      </c>
      <c r="K24" s="58">
        <f>$K$19*'Historical BS'!I24</f>
        <v>32.464884186017585</v>
      </c>
      <c r="L24" s="58">
        <f>$L$19*'Historical BS'!I24</f>
        <v>33.763479553458289</v>
      </c>
    </row>
    <row r="25" spans="1:12" x14ac:dyDescent="0.3">
      <c r="A25" s="4" t="s">
        <v>19</v>
      </c>
      <c r="B25" s="58">
        <f>'Historical BS'!F25</f>
        <v>59.8</v>
      </c>
      <c r="C25" s="58">
        <f>$C$19*'Historical BS'!I25</f>
        <v>54.256113235219466</v>
      </c>
      <c r="D25" s="58">
        <f>$D$19*'Historical BS'!I25</f>
        <v>57.782760595508726</v>
      </c>
      <c r="E25" s="58">
        <f>$E$19*'Historical BS'!I25</f>
        <v>61.53864003421679</v>
      </c>
      <c r="F25" s="58">
        <f>$F$19*'Historical BS'!I25</f>
        <v>65.538651636440875</v>
      </c>
      <c r="G25" s="58">
        <f>$G$19*'Historical BS'!I25</f>
        <v>69.798663992809523</v>
      </c>
      <c r="H25" s="58">
        <f>$H$19*'Historical BS'!I25</f>
        <v>72.590610552521909</v>
      </c>
      <c r="I25" s="58">
        <f>$I$19*'Historical BS'!I25</f>
        <v>75.494234974622785</v>
      </c>
      <c r="J25" s="58">
        <f>$J$19*'Historical BS'!I25</f>
        <v>78.514004373607705</v>
      </c>
      <c r="K25" s="58">
        <f>$K$19*'Historical BS'!I25</f>
        <v>81.654564548552017</v>
      </c>
      <c r="L25" s="58">
        <f>$L$19*'Historical BS'!I25</f>
        <v>84.920747130494092</v>
      </c>
    </row>
    <row r="26" spans="1:12" s="1" customFormat="1" x14ac:dyDescent="0.3">
      <c r="A26" s="5" t="s">
        <v>20</v>
      </c>
      <c r="B26" s="59">
        <f>SUM(B20:B25)</f>
        <v>686.9</v>
      </c>
      <c r="C26" s="59">
        <f t="shared" ref="C26:L26" si="4">SUM(C20:C25)</f>
        <v>793.10688249344048</v>
      </c>
      <c r="D26" s="59">
        <f t="shared" si="4"/>
        <v>844.85382985551325</v>
      </c>
      <c r="E26" s="59">
        <f t="shared" si="4"/>
        <v>899.96432879612223</v>
      </c>
      <c r="F26" s="59">
        <f t="shared" si="4"/>
        <v>958.65701016786988</v>
      </c>
      <c r="G26" s="59">
        <f t="shared" si="4"/>
        <v>1021.1647158287811</v>
      </c>
      <c r="H26" s="59">
        <f t="shared" si="4"/>
        <v>1062.1313044619319</v>
      </c>
      <c r="I26" s="59">
        <f t="shared" si="4"/>
        <v>1104.7365566404105</v>
      </c>
      <c r="J26" s="59">
        <f t="shared" si="4"/>
        <v>1149.0460189060268</v>
      </c>
      <c r="K26" s="59">
        <f t="shared" si="4"/>
        <v>1195.1278596622678</v>
      </c>
      <c r="L26" s="59">
        <f t="shared" si="4"/>
        <v>1243.0529740487582</v>
      </c>
    </row>
    <row r="27" spans="1:12" x14ac:dyDescent="0.3">
      <c r="A27" s="4" t="s">
        <v>21</v>
      </c>
      <c r="B27" s="58">
        <f>'Historical BS'!F27</f>
        <v>12.3</v>
      </c>
      <c r="C27" s="58">
        <f>$C$19*'Historical BS'!I27</f>
        <v>8.2568969019836036</v>
      </c>
      <c r="D27" s="58">
        <f>$D$19*'Historical BS'!I27</f>
        <v>8.7935952006125362</v>
      </c>
      <c r="E27" s="58">
        <f>$E$19*'Historical BS'!I27</f>
        <v>9.3651788886523519</v>
      </c>
      <c r="F27" s="58">
        <f>$F$19*'Historical BS'!I27</f>
        <v>9.9739155164147544</v>
      </c>
      <c r="G27" s="58">
        <f>$G$19*'Historical BS'!I27</f>
        <v>10.622220024981711</v>
      </c>
      <c r="H27" s="58">
        <f>$H$19*'Historical BS'!I27</f>
        <v>11.047108825980979</v>
      </c>
      <c r="I27" s="58">
        <f>$I$19*'Historical BS'!I27</f>
        <v>11.48899317902022</v>
      </c>
      <c r="J27" s="58">
        <f>$J$19*'Historical BS'!I27</f>
        <v>11.948552906181028</v>
      </c>
      <c r="K27" s="58">
        <f>$K$19*'Historical BS'!I27</f>
        <v>12.42649502242827</v>
      </c>
      <c r="L27" s="58">
        <f>$L$19*'Historical BS'!I27</f>
        <v>12.9235548233254</v>
      </c>
    </row>
    <row r="28" spans="1:12" x14ac:dyDescent="0.3">
      <c r="A28" s="4" t="s">
        <v>15</v>
      </c>
      <c r="B28" s="58">
        <f>'Historical BS'!F28</f>
        <v>1659.7</v>
      </c>
      <c r="C28" s="58">
        <f>$C$19*'Historical BS'!I28</f>
        <v>2226.272825515261</v>
      </c>
      <c r="D28" s="58">
        <f>$D$19*'Historical BS'!I28</f>
        <v>2370.9805591737531</v>
      </c>
      <c r="E28" s="58">
        <f>$E$19*'Historical BS'!I28</f>
        <v>2525.0942955200471</v>
      </c>
      <c r="F28" s="58">
        <f>$F$19*'Historical BS'!I28</f>
        <v>2689.2254247288497</v>
      </c>
      <c r="G28" s="58">
        <f>$G$19*'Historical BS'!I28</f>
        <v>2864.025077336225</v>
      </c>
      <c r="H28" s="58">
        <f>$H$19*'Historical BS'!I28</f>
        <v>2978.586080429674</v>
      </c>
      <c r="I28" s="58">
        <f>$I$19*'Historical BS'!I28</f>
        <v>3097.7295236468608</v>
      </c>
      <c r="J28" s="58">
        <f>$J$19*'Historical BS'!I28</f>
        <v>3221.6387045927354</v>
      </c>
      <c r="K28" s="58">
        <f>$K$19*'Historical BS'!I28</f>
        <v>3350.5042527764449</v>
      </c>
      <c r="L28" s="58">
        <f>$L$19*'Historical BS'!I28</f>
        <v>3484.5244228875026</v>
      </c>
    </row>
    <row r="29" spans="1:12" x14ac:dyDescent="0.3">
      <c r="A29" s="4" t="s">
        <v>22</v>
      </c>
      <c r="B29" s="58">
        <f>'Historical BS'!F29</f>
        <v>132.4</v>
      </c>
      <c r="C29" s="58">
        <f>C19*'Historical BS'!$I$29</f>
        <v>219.25326566133194</v>
      </c>
      <c r="D29" s="58">
        <f>D19*'Historical BS'!$I$29</f>
        <v>233.50472792931851</v>
      </c>
      <c r="E29" s="58">
        <f>E19*'Historical BS'!$I$29</f>
        <v>248.68253524472419</v>
      </c>
      <c r="F29" s="58">
        <f>F19*'Historical BS'!$I$29</f>
        <v>264.84690003563122</v>
      </c>
      <c r="G29" s="58">
        <f>G19*'Historical BS'!$I$29</f>
        <v>282.06194853794727</v>
      </c>
      <c r="H29" s="58">
        <f>H19*'Historical BS'!$I$29</f>
        <v>293.34442647946514</v>
      </c>
      <c r="I29" s="58">
        <f>I19*'Historical BS'!$I$29</f>
        <v>305.07820353864378</v>
      </c>
      <c r="J29" s="58">
        <f>J19*'Historical BS'!$I$29</f>
        <v>317.28133168018951</v>
      </c>
      <c r="K29" s="58">
        <f>K19*'Historical BS'!$I$29</f>
        <v>329.97258494739708</v>
      </c>
      <c r="L29" s="58">
        <f>L19*'Historical BS'!$I$29</f>
        <v>343.17148834529297</v>
      </c>
    </row>
    <row r="30" spans="1:12" x14ac:dyDescent="0.3">
      <c r="A30" s="4" t="s">
        <v>17</v>
      </c>
      <c r="B30" s="58">
        <f>'Historical BS'!F30</f>
        <v>131.5</v>
      </c>
      <c r="C30" s="58">
        <f>C19*'Historical BS'!$I$30</f>
        <v>130.1855620314208</v>
      </c>
      <c r="D30" s="58">
        <f>D19*'Historical BS'!$I$30</f>
        <v>138.64762356346313</v>
      </c>
      <c r="E30" s="58">
        <f>E19*'Historical BS'!$I$30</f>
        <v>147.65971909508824</v>
      </c>
      <c r="F30" s="58">
        <f>F19*'Historical BS'!$I$30</f>
        <v>157.25760083626898</v>
      </c>
      <c r="G30" s="58">
        <f>G19*'Historical BS'!$I$30</f>
        <v>167.47934489062644</v>
      </c>
      <c r="H30" s="58">
        <f>H19*'Historical BS'!$I$30</f>
        <v>174.17851868625149</v>
      </c>
      <c r="I30" s="58">
        <f>I19*'Historical BS'!$I$30</f>
        <v>181.14565943370155</v>
      </c>
      <c r="J30" s="58">
        <f>J19*'Historical BS'!$I$30</f>
        <v>188.39148581104962</v>
      </c>
      <c r="K30" s="58">
        <f>K19*'Historical BS'!$I$30</f>
        <v>195.92714524349159</v>
      </c>
      <c r="L30" s="58">
        <f>L19*'Historical BS'!$I$30</f>
        <v>203.76423105323127</v>
      </c>
    </row>
    <row r="31" spans="1:12" x14ac:dyDescent="0.3">
      <c r="A31" s="4" t="s">
        <v>18</v>
      </c>
      <c r="B31" s="58">
        <f>'Historical BS'!F31</f>
        <v>18.5</v>
      </c>
      <c r="C31" s="58">
        <f>C19*'Historical BS'!$I$31</f>
        <v>19.367543080314281</v>
      </c>
      <c r="D31" s="58">
        <f>D19*'Historical BS'!$I$31</f>
        <v>20.626433380534706</v>
      </c>
      <c r="E31" s="58">
        <f>E19*'Historical BS'!$I$31</f>
        <v>21.967151550269463</v>
      </c>
      <c r="F31" s="58">
        <f>F19*'Historical BS'!$I$31</f>
        <v>23.395016401036976</v>
      </c>
      <c r="G31" s="58">
        <f>G19*'Historical BS'!$I$31</f>
        <v>24.915692467104378</v>
      </c>
      <c r="H31" s="58">
        <f>H19*'Historical BS'!$I$31</f>
        <v>25.912320165788554</v>
      </c>
      <c r="I31" s="58">
        <f>I19*'Historical BS'!$I$31</f>
        <v>26.948812972420097</v>
      </c>
      <c r="J31" s="58">
        <f>J19*'Historical BS'!$I$31</f>
        <v>28.026765491316898</v>
      </c>
      <c r="K31" s="58">
        <f>K19*'Historical BS'!$I$31</f>
        <v>29.147836110969575</v>
      </c>
      <c r="L31" s="58">
        <f>L19*'Historical BS'!$I$31</f>
        <v>30.313749555408361</v>
      </c>
    </row>
    <row r="32" spans="1:12" x14ac:dyDescent="0.3">
      <c r="A32" s="4" t="s">
        <v>23</v>
      </c>
      <c r="B32" s="58">
        <f>'Historical BS'!F32</f>
        <v>167.4</v>
      </c>
      <c r="C32" s="58">
        <f>$C$19*'Historical BS'!I32</f>
        <v>546.38062553648456</v>
      </c>
      <c r="D32" s="58">
        <f>$D$19*'Historical BS'!I32</f>
        <v>581.89536619635601</v>
      </c>
      <c r="E32" s="58">
        <f>$E$19*'Historical BS'!I32</f>
        <v>619.71856499911917</v>
      </c>
      <c r="F32" s="58">
        <f>$F$19*'Historical BS'!I32</f>
        <v>660.00027172406192</v>
      </c>
      <c r="G32" s="58">
        <f>$G$19*'Historical BS'!I32</f>
        <v>702.90028938612579</v>
      </c>
      <c r="H32" s="58">
        <f>$H$19*'Historical BS'!I32</f>
        <v>731.01630096157089</v>
      </c>
      <c r="I32" s="58">
        <f>$I$19*'Historical BS'!I32</f>
        <v>760.25695300003372</v>
      </c>
      <c r="J32" s="58">
        <f>$J$19*'Historical BS'!I32</f>
        <v>790.66723112003501</v>
      </c>
      <c r="K32" s="58">
        <f>$K$19*'Historical BS'!I32</f>
        <v>822.29392036483648</v>
      </c>
      <c r="L32" s="58">
        <f>$L$19*'Historical BS'!I32</f>
        <v>855.18567717942994</v>
      </c>
    </row>
    <row r="33" spans="1:12" s="1" customFormat="1" x14ac:dyDescent="0.3">
      <c r="A33" s="5" t="s">
        <v>24</v>
      </c>
      <c r="B33" s="59">
        <f>SUM(B27:B32)</f>
        <v>2121.8000000000002</v>
      </c>
      <c r="C33" s="59">
        <f t="shared" ref="C33:L33" si="5">SUM(C27:C32)</f>
        <v>3149.716718726796</v>
      </c>
      <c r="D33" s="59">
        <f t="shared" si="5"/>
        <v>3354.4483054440379</v>
      </c>
      <c r="E33" s="59">
        <f t="shared" si="5"/>
        <v>3572.4874452979006</v>
      </c>
      <c r="F33" s="59">
        <f t="shared" si="5"/>
        <v>3804.6991292422636</v>
      </c>
      <c r="G33" s="59">
        <f t="shared" si="5"/>
        <v>4052.0045726430103</v>
      </c>
      <c r="H33" s="59">
        <f t="shared" si="5"/>
        <v>4214.0847555487317</v>
      </c>
      <c r="I33" s="59">
        <f t="shared" si="5"/>
        <v>4382.6481457706795</v>
      </c>
      <c r="J33" s="59">
        <f t="shared" si="5"/>
        <v>4557.9540716015072</v>
      </c>
      <c r="K33" s="59">
        <f t="shared" si="5"/>
        <v>4740.2722344655676</v>
      </c>
      <c r="L33" s="59">
        <f t="shared" si="5"/>
        <v>4929.8831238441908</v>
      </c>
    </row>
    <row r="34" spans="1:12" s="1" customFormat="1" ht="15.6" x14ac:dyDescent="0.3">
      <c r="A34" s="7" t="s">
        <v>25</v>
      </c>
      <c r="B34" s="59">
        <f>B33+B26</f>
        <v>2808.7000000000003</v>
      </c>
      <c r="C34" s="59">
        <f t="shared" ref="C34:L34" si="6">C33+C26</f>
        <v>3942.8236012202365</v>
      </c>
      <c r="D34" s="59">
        <f t="shared" si="6"/>
        <v>4199.3021352995511</v>
      </c>
      <c r="E34" s="59">
        <f t="shared" si="6"/>
        <v>4472.4517740940228</v>
      </c>
      <c r="F34" s="59">
        <f t="shared" si="6"/>
        <v>4763.3561394101334</v>
      </c>
      <c r="G34" s="59">
        <f t="shared" si="6"/>
        <v>5073.1692884717913</v>
      </c>
      <c r="H34" s="59">
        <f t="shared" si="6"/>
        <v>5276.2160600106636</v>
      </c>
      <c r="I34" s="59">
        <f t="shared" si="6"/>
        <v>5487.3847024110901</v>
      </c>
      <c r="J34" s="59">
        <f t="shared" si="6"/>
        <v>5707.000090507534</v>
      </c>
      <c r="K34" s="59">
        <f t="shared" si="6"/>
        <v>5935.4000941278355</v>
      </c>
      <c r="L34" s="59">
        <f t="shared" si="6"/>
        <v>6172.936097892949</v>
      </c>
    </row>
    <row r="35" spans="1:12" x14ac:dyDescent="0.3">
      <c r="A35" s="4" t="s">
        <v>26</v>
      </c>
      <c r="B35" s="58">
        <f>'Historical BS'!F35</f>
        <v>2.8</v>
      </c>
      <c r="C35" s="58">
        <v>3</v>
      </c>
      <c r="D35" s="58">
        <f>C35</f>
        <v>3</v>
      </c>
      <c r="E35" s="58">
        <f t="shared" ref="E35:L35" si="7">D35</f>
        <v>3</v>
      </c>
      <c r="F35" s="58">
        <f t="shared" si="7"/>
        <v>3</v>
      </c>
      <c r="G35" s="58">
        <f t="shared" si="7"/>
        <v>3</v>
      </c>
      <c r="H35" s="58">
        <f t="shared" si="7"/>
        <v>3</v>
      </c>
      <c r="I35" s="58">
        <f t="shared" si="7"/>
        <v>3</v>
      </c>
      <c r="J35" s="58">
        <f t="shared" si="7"/>
        <v>3</v>
      </c>
      <c r="K35" s="58">
        <f t="shared" si="7"/>
        <v>3</v>
      </c>
      <c r="L35" s="58">
        <f t="shared" si="7"/>
        <v>3</v>
      </c>
    </row>
    <row r="36" spans="1:12" x14ac:dyDescent="0.3">
      <c r="A36" s="4" t="s">
        <v>43</v>
      </c>
      <c r="B36" s="58">
        <f>'Historical BS'!F36</f>
        <v>1945</v>
      </c>
      <c r="C36" s="58">
        <f>$C$19*'Historical BS'!I36</f>
        <v>1388.5799571603677</v>
      </c>
      <c r="D36" s="58">
        <f>$D$19*'Historical BS'!I36</f>
        <v>1478.8376543757915</v>
      </c>
      <c r="E36" s="58">
        <f>$E$19*'Historical BS'!I36</f>
        <v>1574.9621019102178</v>
      </c>
      <c r="F36" s="58">
        <f>$F$19*'Historical BS'!I36</f>
        <v>1677.3346385343821</v>
      </c>
      <c r="G36" s="58">
        <f>$G$19*'Historical BS'!I36</f>
        <v>1786.3613900391167</v>
      </c>
      <c r="H36" s="58">
        <f>$H$19*'Historical BS'!I36</f>
        <v>1857.8158456406813</v>
      </c>
      <c r="I36" s="58">
        <f>$I$19*'Historical BS'!I36</f>
        <v>1932.1284794663086</v>
      </c>
      <c r="J36" s="58">
        <f>$J$19*'Historical BS'!I36</f>
        <v>2009.4136186449609</v>
      </c>
      <c r="K36" s="58">
        <f>$K$19*'Historical BS'!I36</f>
        <v>2089.7901633907595</v>
      </c>
      <c r="L36" s="58">
        <f>$L$19*'Historical BS'!I36</f>
        <v>2173.38176992639</v>
      </c>
    </row>
    <row r="37" spans="1:12" x14ac:dyDescent="0.3">
      <c r="A37" s="4" t="s">
        <v>27</v>
      </c>
      <c r="B37" s="58">
        <f>'Historical BS'!F37</f>
        <v>-220.7</v>
      </c>
      <c r="C37" s="58">
        <f>$C$19*'Historical BS'!I37</f>
        <v>-138.01845131015057</v>
      </c>
      <c r="D37" s="58">
        <f>$D$19*'Historical BS'!I37</f>
        <v>-146.98965064531035</v>
      </c>
      <c r="E37" s="58">
        <f>$E$19*'Historical BS'!I37</f>
        <v>-156.54397793725553</v>
      </c>
      <c r="F37" s="58">
        <f>$F$19*'Historical BS'!I37</f>
        <v>-166.71933650317712</v>
      </c>
      <c r="G37" s="58">
        <f>$G$19*'Historical BS'!I37</f>
        <v>-177.55609337588362</v>
      </c>
      <c r="H37" s="58">
        <f>$H$19*'Historical BS'!I37</f>
        <v>-184.65833711091898</v>
      </c>
      <c r="I37" s="58">
        <f>$I$19*'Historical BS'!I37</f>
        <v>-192.04467059535574</v>
      </c>
      <c r="J37" s="58">
        <f>$J$19*'Historical BS'!I37</f>
        <v>-199.72645741916998</v>
      </c>
      <c r="K37" s="58">
        <f>$K$19*'Historical BS'!I37</f>
        <v>-207.71551571593676</v>
      </c>
      <c r="L37" s="58">
        <f>$L$19*'Historical BS'!I37</f>
        <v>-216.02413634457423</v>
      </c>
    </row>
    <row r="38" spans="1:12" x14ac:dyDescent="0.3">
      <c r="A38" s="4" t="s">
        <v>44</v>
      </c>
      <c r="B38" s="58">
        <f>'Historical BS'!F38</f>
        <v>-0.1</v>
      </c>
      <c r="C38" s="58">
        <f>$C$19*'Historical BS'!I38</f>
        <v>-4.4406844732246049E-2</v>
      </c>
      <c r="D38" s="58">
        <f>$D$19*'Historical BS'!I38</f>
        <v>-4.7293289639842043E-2</v>
      </c>
      <c r="E38" s="58">
        <f>$E$19*'Historical BS'!I38</f>
        <v>-5.0367353466431772E-2</v>
      </c>
      <c r="F38" s="58">
        <f>$F$19*'Historical BS'!I38</f>
        <v>-5.3641231441749836E-2</v>
      </c>
      <c r="G38" s="58">
        <f>$G$19*'Historical BS'!I38</f>
        <v>-5.7127911485463569E-2</v>
      </c>
      <c r="H38" s="58">
        <f>$H$19*'Historical BS'!I38</f>
        <v>-5.941302794488211E-2</v>
      </c>
      <c r="I38" s="58">
        <f>$I$19*'Historical BS'!I38</f>
        <v>-6.1789549062677397E-2</v>
      </c>
      <c r="J38" s="58">
        <f>$J$19*'Historical BS'!I38</f>
        <v>-6.4261131025184492E-2</v>
      </c>
      <c r="K38" s="58">
        <f>$K$19*'Historical BS'!I38</f>
        <v>-6.6831576266191878E-2</v>
      </c>
      <c r="L38" s="58">
        <f>$L$19*'Historical BS'!I38</f>
        <v>-6.9504839316839553E-2</v>
      </c>
    </row>
    <row r="39" spans="1:12" x14ac:dyDescent="0.3">
      <c r="A39" s="4" t="s">
        <v>28</v>
      </c>
      <c r="B39" s="58">
        <f>'Historical BS'!F39</f>
        <v>86.7</v>
      </c>
      <c r="C39" s="58">
        <f>$C$19*'Historical BS'!I39</f>
        <v>-8.8477824348506537</v>
      </c>
      <c r="D39" s="58">
        <f>$D$19*'Historical BS'!I39</f>
        <v>-9.4228882931159443</v>
      </c>
      <c r="E39" s="58">
        <f>$E$19*'Historical BS'!I39</f>
        <v>-10.035376032168481</v>
      </c>
      <c r="F39" s="58">
        <f>$F$19*'Historical BS'!I39</f>
        <v>-10.687675474259432</v>
      </c>
      <c r="G39" s="58">
        <f>$G$19*'Historical BS'!I39</f>
        <v>-11.382374380086294</v>
      </c>
      <c r="H39" s="58">
        <f>$H$19*'Historical BS'!I39</f>
        <v>-11.837669355289746</v>
      </c>
      <c r="I39" s="58">
        <f>$I$19*'Historical BS'!I39</f>
        <v>-12.311176129501336</v>
      </c>
      <c r="J39" s="58">
        <f>$J$19*'Historical BS'!I39</f>
        <v>-12.803623174681389</v>
      </c>
      <c r="K39" s="58">
        <f>$K$19*'Historical BS'!I39</f>
        <v>-13.315768101668645</v>
      </c>
      <c r="L39" s="58">
        <f>$L$19*'Historical BS'!I39</f>
        <v>-13.848398825735391</v>
      </c>
    </row>
    <row r="40" spans="1:12" s="1" customFormat="1" x14ac:dyDescent="0.3">
      <c r="A40" s="5" t="s">
        <v>29</v>
      </c>
      <c r="B40" s="59">
        <f>SUM(B35:B39)</f>
        <v>1813.7</v>
      </c>
      <c r="C40" s="59">
        <f t="shared" ref="C40:L40" si="8">SUM(C35:C39)</f>
        <v>1244.6693165706342</v>
      </c>
      <c r="D40" s="59">
        <f t="shared" si="8"/>
        <v>1325.3778221477255</v>
      </c>
      <c r="E40" s="59">
        <f t="shared" si="8"/>
        <v>1411.3323805873274</v>
      </c>
      <c r="F40" s="59">
        <f t="shared" si="8"/>
        <v>1502.8739853255038</v>
      </c>
      <c r="G40" s="59">
        <f t="shared" si="8"/>
        <v>1600.3657943716614</v>
      </c>
      <c r="H40" s="59">
        <f t="shared" si="8"/>
        <v>1664.2604261465276</v>
      </c>
      <c r="I40" s="59">
        <f t="shared" si="8"/>
        <v>1730.7108431923889</v>
      </c>
      <c r="J40" s="59">
        <f t="shared" si="8"/>
        <v>1799.8192769200843</v>
      </c>
      <c r="K40" s="59">
        <f t="shared" si="8"/>
        <v>1871.6920479968878</v>
      </c>
      <c r="L40" s="59">
        <f t="shared" si="8"/>
        <v>1946.4397299167636</v>
      </c>
    </row>
    <row r="41" spans="1:12" s="1" customFormat="1" ht="17.399999999999999" x14ac:dyDescent="0.35">
      <c r="A41" s="6" t="s">
        <v>30</v>
      </c>
      <c r="B41" s="59">
        <f>'Historical BS'!F41</f>
        <v>4622.4000000000005</v>
      </c>
      <c r="C41" s="59">
        <f>C19</f>
        <v>5187.4929177908707</v>
      </c>
      <c r="D41" s="59">
        <f t="shared" ref="D41:L41" si="9">D19</f>
        <v>5524.679957447277</v>
      </c>
      <c r="E41" s="59">
        <f t="shared" si="9"/>
        <v>5883.7841546813497</v>
      </c>
      <c r="F41" s="59">
        <f t="shared" si="9"/>
        <v>6266.2301247356372</v>
      </c>
      <c r="G41" s="59">
        <f t="shared" si="9"/>
        <v>6673.535082843453</v>
      </c>
      <c r="H41" s="59">
        <f t="shared" si="9"/>
        <v>6940.4764861571912</v>
      </c>
      <c r="I41" s="59">
        <f t="shared" si="9"/>
        <v>7218.095545603479</v>
      </c>
      <c r="J41" s="59">
        <f t="shared" si="9"/>
        <v>7506.8193674276181</v>
      </c>
      <c r="K41" s="59">
        <f t="shared" si="9"/>
        <v>7807.0921421247231</v>
      </c>
      <c r="L41" s="59">
        <f t="shared" si="9"/>
        <v>8119.3758278097121</v>
      </c>
    </row>
    <row r="44" spans="1:12" x14ac:dyDescent="0.3">
      <c r="B44" s="4">
        <f t="shared" ref="B44:L44" si="10">B5+B6+B8-B20</f>
        <v>-80</v>
      </c>
      <c r="C44" s="4">
        <f t="shared" si="10"/>
        <v>-69.702081197759867</v>
      </c>
      <c r="D44" s="4">
        <f t="shared" si="10"/>
        <v>-74.232716475614211</v>
      </c>
      <c r="E44" s="4">
        <f t="shared" si="10"/>
        <v>-79.057843046529115</v>
      </c>
      <c r="F44" s="4">
        <f>F5+F6+F8-F20</f>
        <v>-84.196602844553581</v>
      </c>
      <c r="G44" s="4">
        <f t="shared" si="10"/>
        <v>-89.669382029449594</v>
      </c>
      <c r="H44" s="4">
        <f t="shared" si="10"/>
        <v>-93.256157310627486</v>
      </c>
      <c r="I44" s="4">
        <f t="shared" si="10"/>
        <v>-96.986403603052622</v>
      </c>
      <c r="J44" s="4">
        <f t="shared" si="10"/>
        <v>-100.86585974717468</v>
      </c>
      <c r="K44" s="4">
        <f t="shared" si="10"/>
        <v>-104.90049413706174</v>
      </c>
      <c r="L44" s="4">
        <f t="shared" si="10"/>
        <v>-109.09651390254419</v>
      </c>
    </row>
    <row r="45" spans="1:12" x14ac:dyDescent="0.3">
      <c r="C45" s="125">
        <f>C44-B44</f>
        <v>10.297918802240133</v>
      </c>
      <c r="D45" s="125">
        <f t="shared" ref="D45:L45" si="11">D44-C44</f>
        <v>-4.5306352778543442</v>
      </c>
      <c r="E45" s="125">
        <f t="shared" si="11"/>
        <v>-4.8251265709149038</v>
      </c>
      <c r="F45" s="125">
        <f t="shared" si="11"/>
        <v>-5.1387597980244664</v>
      </c>
      <c r="G45" s="125">
        <f t="shared" si="11"/>
        <v>-5.4727791848960123</v>
      </c>
      <c r="H45" s="125">
        <f t="shared" si="11"/>
        <v>-3.5867752811778928</v>
      </c>
      <c r="I45" s="125">
        <f t="shared" si="11"/>
        <v>-3.7302462924251358</v>
      </c>
      <c r="J45" s="125">
        <f t="shared" si="11"/>
        <v>-3.8794561441220594</v>
      </c>
      <c r="K45" s="125">
        <f t="shared" si="11"/>
        <v>-4.03463438988706</v>
      </c>
      <c r="L45" s="125">
        <f t="shared" si="11"/>
        <v>-4.1960197654824469</v>
      </c>
    </row>
    <row r="48" spans="1:12" x14ac:dyDescent="0.3">
      <c r="B48">
        <f>B9/B26</f>
        <v>1.134226233804047</v>
      </c>
      <c r="C48">
        <f t="shared" ref="C48:L48" si="12">C9/C26</f>
        <v>1.1763007535196985</v>
      </c>
      <c r="D48">
        <f t="shared" si="12"/>
        <v>1.1760292525347587</v>
      </c>
      <c r="E48">
        <f t="shared" si="12"/>
        <v>1.1757744360971434</v>
      </c>
      <c r="F48">
        <f t="shared" si="12"/>
        <v>1.1755352723372094</v>
      </c>
      <c r="G48">
        <f t="shared" si="12"/>
        <v>1.1753107939797482</v>
      </c>
      <c r="H48">
        <f t="shared" si="12"/>
        <v>1.1751780069178441</v>
      </c>
      <c r="I48">
        <f t="shared" si="12"/>
        <v>1.1750503553433715</v>
      </c>
      <c r="J48">
        <f t="shared" si="12"/>
        <v>1.17492763959455</v>
      </c>
      <c r="K48">
        <f t="shared" si="12"/>
        <v>1.174809667851517</v>
      </c>
      <c r="L48">
        <f t="shared" si="12"/>
        <v>1.1746962558223557</v>
      </c>
    </row>
    <row r="50" spans="2:12" x14ac:dyDescent="0.3">
      <c r="B50">
        <f>B4/B26</f>
        <v>0.51696025622361341</v>
      </c>
      <c r="C50">
        <f t="shared" ref="C50:L50" si="13">C4/C26</f>
        <v>0.60033329563628646</v>
      </c>
      <c r="D50">
        <f t="shared" si="13"/>
        <v>0.6001947332145845</v>
      </c>
      <c r="E50">
        <f t="shared" si="13"/>
        <v>0.6000646858680041</v>
      </c>
      <c r="F50">
        <f t="shared" si="13"/>
        <v>0.59994262697467404</v>
      </c>
      <c r="G50">
        <f t="shared" si="13"/>
        <v>0.59982806287894308</v>
      </c>
      <c r="H50">
        <f t="shared" si="13"/>
        <v>0.59976029407555531</v>
      </c>
      <c r="I50">
        <f t="shared" si="13"/>
        <v>0.59969514620400333</v>
      </c>
      <c r="J50">
        <f t="shared" si="13"/>
        <v>0.59963251736550638</v>
      </c>
      <c r="K50">
        <f t="shared" si="13"/>
        <v>0.59957230966345798</v>
      </c>
      <c r="L50">
        <f t="shared" si="13"/>
        <v>0.59951442904319341</v>
      </c>
    </row>
    <row r="51" spans="2:12" x14ac:dyDescent="0.3">
      <c r="C51" s="129"/>
      <c r="D51" s="129"/>
      <c r="E51" s="129"/>
      <c r="F51" s="129"/>
      <c r="G51" s="129"/>
      <c r="H51" s="129"/>
      <c r="I51" s="129"/>
      <c r="J51" s="129"/>
    </row>
    <row r="52" spans="2:12" x14ac:dyDescent="0.3">
      <c r="B52" s="31">
        <f>'Proj IS'!B16/'Proj BS'!B19</f>
        <v>3.7210107303565235E-2</v>
      </c>
      <c r="C52" s="130">
        <f>'Proj IS'!C16/'Proj BS'!C19</f>
        <v>3.6937353194645091E-2</v>
      </c>
      <c r="D52" s="130">
        <f>'Proj IS'!D16/'Proj BS'!D19</f>
        <v>3.6937353194645105E-2</v>
      </c>
      <c r="E52" s="130">
        <f>'Proj IS'!E16/'Proj BS'!E19</f>
        <v>3.6937353194645126E-2</v>
      </c>
      <c r="F52" s="130">
        <f>'Proj IS'!F16/'Proj BS'!F19</f>
        <v>3.6937353194645098E-2</v>
      </c>
      <c r="G52" s="130">
        <f>'Proj IS'!G16/'Proj BS'!G19</f>
        <v>3.6937353194645098E-2</v>
      </c>
      <c r="H52" s="130">
        <f>'Proj IS'!H16/'Proj BS'!H19</f>
        <v>3.6937353194645126E-2</v>
      </c>
      <c r="I52" s="130">
        <f>'Proj IS'!I16/'Proj BS'!I19</f>
        <v>3.6937353194645133E-2</v>
      </c>
      <c r="J52" s="130">
        <f>'Proj IS'!J16/'Proj BS'!J19</f>
        <v>3.6937353194645126E-2</v>
      </c>
      <c r="K52" s="31">
        <f>'Proj IS'!K16/'Proj BS'!K19</f>
        <v>3.6937353194645119E-2</v>
      </c>
      <c r="L52" s="31">
        <f>'Proj IS'!L16/'Proj BS'!L19</f>
        <v>3.6937353194645105E-2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3A5F1-D697-432A-BA68-1F8CA5E7C046}">
  <sheetPr>
    <tabColor rgb="FF92D050"/>
  </sheetPr>
  <dimension ref="A2:L21"/>
  <sheetViews>
    <sheetView workbookViewId="0">
      <selection activeCell="B20" sqref="B20:H20"/>
    </sheetView>
  </sheetViews>
  <sheetFormatPr defaultRowHeight="14.4" x14ac:dyDescent="0.3"/>
  <cols>
    <col min="1" max="1" width="36.6640625" customWidth="1"/>
  </cols>
  <sheetData>
    <row r="2" spans="1:12" ht="18.600000000000001" thickBot="1" x14ac:dyDescent="0.4">
      <c r="A2" s="52" t="s">
        <v>198</v>
      </c>
      <c r="B2" s="11" t="s">
        <v>35</v>
      </c>
      <c r="C2" s="11" t="s">
        <v>184</v>
      </c>
      <c r="D2" s="11" t="s">
        <v>185</v>
      </c>
      <c r="E2" s="11" t="s">
        <v>186</v>
      </c>
      <c r="F2" s="11" t="s">
        <v>187</v>
      </c>
      <c r="G2" s="11" t="s">
        <v>188</v>
      </c>
      <c r="H2" s="11" t="s">
        <v>189</v>
      </c>
      <c r="I2" s="11" t="s">
        <v>190</v>
      </c>
      <c r="J2" s="11" t="s">
        <v>191</v>
      </c>
      <c r="K2" s="11" t="s">
        <v>192</v>
      </c>
      <c r="L2" s="11" t="s">
        <v>193</v>
      </c>
    </row>
    <row r="3" spans="1:12" x14ac:dyDescent="0.3">
      <c r="A3" s="44" t="s">
        <v>200</v>
      </c>
      <c r="B3" s="44"/>
      <c r="C3" s="44"/>
      <c r="D3" s="44"/>
      <c r="E3" s="44"/>
      <c r="F3" s="44"/>
      <c r="G3" s="44"/>
    </row>
    <row r="4" spans="1:12" x14ac:dyDescent="0.3">
      <c r="A4" s="44" t="s">
        <v>201</v>
      </c>
      <c r="B4" s="44"/>
      <c r="C4" s="44"/>
      <c r="D4" s="44"/>
      <c r="E4" s="44"/>
      <c r="F4" s="44"/>
      <c r="G4" s="44"/>
    </row>
    <row r="5" spans="1:12" x14ac:dyDescent="0.3">
      <c r="A5" s="44" t="s">
        <v>202</v>
      </c>
      <c r="B5" s="60">
        <f>'Proj BS'!B5</f>
        <v>222</v>
      </c>
      <c r="C5" s="60">
        <f>'Proj BS'!C5</f>
        <v>257.19399232876714</v>
      </c>
      <c r="D5" s="60">
        <f>'Proj BS'!D5</f>
        <v>273.91160183013693</v>
      </c>
      <c r="E5" s="60">
        <f>'Proj BS'!E5</f>
        <v>291.71585594909584</v>
      </c>
      <c r="F5" s="60">
        <f>'Proj BS'!F5</f>
        <v>310.67738658578702</v>
      </c>
      <c r="G5" s="60">
        <f>'Proj BS'!G5</f>
        <v>330.87141671386314</v>
      </c>
      <c r="H5" s="60">
        <f>'Proj BS'!H5</f>
        <v>344.10627338241767</v>
      </c>
      <c r="I5" s="60">
        <f>'Proj BS'!I5</f>
        <v>357.8705243177144</v>
      </c>
      <c r="J5" s="60">
        <f>'Proj BS'!J5</f>
        <v>372.18534529042302</v>
      </c>
      <c r="K5" s="60">
        <f>'Proj BS'!K5</f>
        <v>387.07275910203998</v>
      </c>
      <c r="L5" s="60">
        <f>'Proj BS'!L5</f>
        <v>402.55566946612163</v>
      </c>
    </row>
    <row r="6" spans="1:12" s="56" customFormat="1" x14ac:dyDescent="0.3">
      <c r="A6" s="54" t="s">
        <v>203</v>
      </c>
      <c r="B6" s="55">
        <f>B5/'Proj IS'!B4*365</f>
        <v>44.617587137272182</v>
      </c>
      <c r="C6" s="55">
        <f>C5/'Proj IS'!C4*365</f>
        <v>46.06</v>
      </c>
      <c r="D6" s="55">
        <f>D5/'Proj IS'!D4*365</f>
        <v>46.06</v>
      </c>
      <c r="E6" s="55">
        <f>E5/'Proj IS'!E4*365</f>
        <v>46.06</v>
      </c>
      <c r="F6" s="55">
        <f>F5/'Proj IS'!F4*365</f>
        <v>46.06</v>
      </c>
      <c r="G6" s="55">
        <f>G5/'Proj IS'!G4*365</f>
        <v>46.06</v>
      </c>
      <c r="H6" s="55">
        <f>H5/'Proj IS'!H4*365</f>
        <v>46.06</v>
      </c>
      <c r="I6" s="55">
        <f>I5/'Proj IS'!I4*365</f>
        <v>46.06</v>
      </c>
      <c r="J6" s="55">
        <f>J5/'Proj IS'!J4*365</f>
        <v>46.06</v>
      </c>
      <c r="K6" s="55">
        <f>K5/'Proj IS'!K4*365</f>
        <v>46.06</v>
      </c>
      <c r="L6" s="55">
        <f>L5/'Proj IS'!L4*365</f>
        <v>46.06</v>
      </c>
    </row>
    <row r="7" spans="1:12" x14ac:dyDescent="0.3">
      <c r="A7" s="44" t="s">
        <v>204</v>
      </c>
      <c r="B7" s="60">
        <f>'Proj BS'!B6</f>
        <v>170.7</v>
      </c>
      <c r="C7" s="60">
        <f>'Proj BS'!C6</f>
        <v>171.25103962003453</v>
      </c>
      <c r="D7" s="60">
        <f>'Proj BS'!D6</f>
        <v>182.38235719533674</v>
      </c>
      <c r="E7" s="60">
        <f>'Proj BS'!E6</f>
        <v>194.23721041303361</v>
      </c>
      <c r="F7" s="60">
        <f>'Proj BS'!F6</f>
        <v>206.86262908988078</v>
      </c>
      <c r="G7" s="60">
        <f>'Proj BS'!G6</f>
        <v>220.30869998072299</v>
      </c>
      <c r="H7" s="60">
        <f>'Proj BS'!H6</f>
        <v>229.12104797995192</v>
      </c>
      <c r="I7" s="60">
        <f>'Proj BS'!I6</f>
        <v>238.28588989915002</v>
      </c>
      <c r="J7" s="60">
        <f>'Proj BS'!J6</f>
        <v>247.81732549511605</v>
      </c>
      <c r="K7" s="60">
        <f>'Proj BS'!K6</f>
        <v>257.73001851492074</v>
      </c>
      <c r="L7" s="60">
        <f>'Proj BS'!L6</f>
        <v>268.03921925551759</v>
      </c>
    </row>
    <row r="8" spans="1:12" s="56" customFormat="1" x14ac:dyDescent="0.3">
      <c r="A8" s="54" t="s">
        <v>205</v>
      </c>
      <c r="B8" s="55">
        <f>B7/-'Proj IS'!B6*365</f>
        <v>43.8092392068626</v>
      </c>
      <c r="C8" s="55">
        <f>C7/-'Proj IS'!C6*365</f>
        <v>39.68187335578174</v>
      </c>
      <c r="D8" s="55">
        <f>D7/-'Proj IS'!D6*365</f>
        <v>39.681873355781732</v>
      </c>
      <c r="E8" s="55">
        <f>E7/-'Proj IS'!E6*365</f>
        <v>39.68187335578174</v>
      </c>
      <c r="F8" s="55">
        <f>F7/-'Proj IS'!F6*365</f>
        <v>39.68187335578174</v>
      </c>
      <c r="G8" s="55">
        <f>G7/-'Proj IS'!G6*365</f>
        <v>39.68187335578174</v>
      </c>
      <c r="H8" s="55">
        <f>H7/-'Proj IS'!H6*365</f>
        <v>39.68187335578174</v>
      </c>
      <c r="I8" s="55">
        <f>I7/-'Proj IS'!I6*365</f>
        <v>39.68187335578174</v>
      </c>
      <c r="J8" s="55">
        <f>J7/-'Proj IS'!J6*365</f>
        <v>39.68187335578174</v>
      </c>
      <c r="K8" s="55">
        <f>K7/-'Proj IS'!K6*365</f>
        <v>39.68187335578174</v>
      </c>
      <c r="L8" s="55">
        <f>L7/-'Proj IS'!L6*365</f>
        <v>39.68187335578174</v>
      </c>
    </row>
    <row r="9" spans="1:12" x14ac:dyDescent="0.3">
      <c r="A9" s="44" t="s">
        <v>206</v>
      </c>
      <c r="B9" s="60">
        <f>'Proj BS'!B8</f>
        <v>28.5</v>
      </c>
      <c r="C9" s="60">
        <f>'Proj BS'!C8</f>
        <v>25.787575934661636</v>
      </c>
      <c r="D9" s="60">
        <f>'Proj BS'!D8</f>
        <v>27.463768370414641</v>
      </c>
      <c r="E9" s="60">
        <f>'Proj BS'!E8</f>
        <v>29.248913314491592</v>
      </c>
      <c r="F9" s="60">
        <f>'Proj BS'!F8</f>
        <v>31.150092679933547</v>
      </c>
      <c r="G9" s="60">
        <f>'Proj BS'!G8</f>
        <v>33.174848704129225</v>
      </c>
      <c r="H9" s="60">
        <f>'Proj BS'!H8</f>
        <v>34.501842652294393</v>
      </c>
      <c r="I9" s="60">
        <f>'Proj BS'!I8</f>
        <v>35.881916358386171</v>
      </c>
      <c r="J9" s="60">
        <f>'Proj BS'!J8</f>
        <v>37.317193012721617</v>
      </c>
      <c r="K9" s="60">
        <f>'Proj BS'!K8</f>
        <v>38.809880733230479</v>
      </c>
      <c r="L9" s="60">
        <f>'Proj BS'!L8</f>
        <v>40.3622759625597</v>
      </c>
    </row>
    <row r="10" spans="1:12" s="56" customFormat="1" x14ac:dyDescent="0.3">
      <c r="A10" s="54" t="s">
        <v>145</v>
      </c>
      <c r="B10" s="57">
        <f>B9/'Proj IS'!B4</f>
        <v>1.569296844887396E-2</v>
      </c>
      <c r="C10" s="57">
        <f>C9/'Proj IS'!C4</f>
        <v>1.2652628861235667E-2</v>
      </c>
      <c r="D10" s="57">
        <f>D9/'Proj IS'!D4</f>
        <v>1.2652628861235669E-2</v>
      </c>
      <c r="E10" s="57">
        <f>E9/'Proj IS'!E4</f>
        <v>1.2652628861235669E-2</v>
      </c>
      <c r="F10" s="57">
        <f>F9/'Proj IS'!F4</f>
        <v>1.2652628861235672E-2</v>
      </c>
      <c r="G10" s="57">
        <f>G9/'Proj IS'!G4</f>
        <v>1.2652628861235672E-2</v>
      </c>
      <c r="H10" s="57">
        <f>H9/'Proj IS'!H4</f>
        <v>1.265262886123567E-2</v>
      </c>
      <c r="I10" s="57">
        <f>I9/'Proj IS'!I4</f>
        <v>1.265262886123567E-2</v>
      </c>
      <c r="J10" s="57">
        <f>J9/'Proj IS'!J4</f>
        <v>1.2652628861235669E-2</v>
      </c>
      <c r="K10" s="57">
        <f>K9/'Proj IS'!K4</f>
        <v>1.2652628861235667E-2</v>
      </c>
      <c r="L10" s="57">
        <f>L9/'Proj IS'!L4</f>
        <v>1.2652628861235667E-2</v>
      </c>
    </row>
    <row r="11" spans="1:12" x14ac:dyDescent="0.3">
      <c r="A11" s="44" t="s">
        <v>208</v>
      </c>
      <c r="B11" s="44">
        <f t="shared" ref="B11:L11" si="0">B5+B7+B9</f>
        <v>421.2</v>
      </c>
      <c r="C11" s="44">
        <f t="shared" si="0"/>
        <v>454.23260788346329</v>
      </c>
      <c r="D11" s="44">
        <f t="shared" si="0"/>
        <v>483.75772739588831</v>
      </c>
      <c r="E11" s="44">
        <f t="shared" si="0"/>
        <v>515.20197967662102</v>
      </c>
      <c r="F11" s="44">
        <f t="shared" si="0"/>
        <v>548.6901083556013</v>
      </c>
      <c r="G11" s="44">
        <f t="shared" si="0"/>
        <v>584.35496539871531</v>
      </c>
      <c r="H11" s="44">
        <f t="shared" si="0"/>
        <v>607.72916401466398</v>
      </c>
      <c r="I11" s="44">
        <f t="shared" si="0"/>
        <v>632.0383305752506</v>
      </c>
      <c r="J11" s="44">
        <f t="shared" si="0"/>
        <v>657.31986379826071</v>
      </c>
      <c r="K11" s="44">
        <f t="shared" si="0"/>
        <v>683.61265835019117</v>
      </c>
      <c r="L11" s="44">
        <f t="shared" si="0"/>
        <v>710.95716468419891</v>
      </c>
    </row>
    <row r="12" spans="1:12" x14ac:dyDescent="0.3">
      <c r="A12" s="44"/>
      <c r="B12" s="44"/>
      <c r="C12" s="44"/>
      <c r="D12" s="44"/>
      <c r="E12" s="44"/>
      <c r="F12" s="44"/>
      <c r="G12" s="44"/>
    </row>
    <row r="13" spans="1:12" x14ac:dyDescent="0.3">
      <c r="A13" s="44" t="s">
        <v>209</v>
      </c>
      <c r="B13" s="44"/>
      <c r="C13" s="44"/>
      <c r="D13" s="44"/>
      <c r="E13" s="44"/>
      <c r="F13" s="44"/>
      <c r="G13" s="44"/>
    </row>
    <row r="14" spans="1:12" x14ac:dyDescent="0.3">
      <c r="A14" s="44" t="s">
        <v>210</v>
      </c>
      <c r="B14" s="60">
        <f>'Proj BS'!B20</f>
        <v>501.2</v>
      </c>
      <c r="C14" s="60">
        <f>'Proj BS'!C20</f>
        <v>523.93468908122315</v>
      </c>
      <c r="D14" s="60">
        <f>'Proj BS'!D20</f>
        <v>557.99044387150252</v>
      </c>
      <c r="E14" s="60">
        <f>'Proj BS'!E20</f>
        <v>594.25982272315014</v>
      </c>
      <c r="F14" s="60">
        <f>'Proj BS'!F20</f>
        <v>632.88671120015488</v>
      </c>
      <c r="G14" s="60">
        <f>'Proj BS'!G20</f>
        <v>674.0243474281649</v>
      </c>
      <c r="H14" s="60">
        <f>'Proj BS'!H20</f>
        <v>700.98532132529147</v>
      </c>
      <c r="I14" s="60">
        <f>'Proj BS'!I20</f>
        <v>729.02473417830322</v>
      </c>
      <c r="J14" s="60">
        <f>'Proj BS'!J20</f>
        <v>758.18572354543539</v>
      </c>
      <c r="K14" s="60">
        <f>'Proj BS'!K20</f>
        <v>788.51315248725291</v>
      </c>
      <c r="L14" s="60">
        <f>'Proj BS'!L20</f>
        <v>820.0536785867431</v>
      </c>
    </row>
    <row r="15" spans="1:12" s="56" customFormat="1" x14ac:dyDescent="0.3">
      <c r="A15" s="54" t="s">
        <v>211</v>
      </c>
      <c r="B15" s="55">
        <f>B14/-'Proj IS'!B6*365</f>
        <v>128.63029109829841</v>
      </c>
      <c r="C15" s="55">
        <f>C14/-'Proj IS'!C6*365</f>
        <v>121.40486869423762</v>
      </c>
      <c r="D15" s="55">
        <f>D14/-'Proj IS'!D6*365</f>
        <v>121.40486869423761</v>
      </c>
      <c r="E15" s="55">
        <f>E14/-'Proj IS'!E6*365</f>
        <v>121.40486869423762</v>
      </c>
      <c r="F15" s="55">
        <f>F14/-'Proj IS'!F6*365</f>
        <v>121.40486869423762</v>
      </c>
      <c r="G15" s="55">
        <f>G14/-'Proj IS'!G6*365</f>
        <v>121.40486869423762</v>
      </c>
      <c r="H15" s="55">
        <f>H14/-'Proj IS'!H6*365</f>
        <v>121.40486869423762</v>
      </c>
      <c r="I15" s="55">
        <f>I14/-'Proj IS'!I6*365</f>
        <v>121.40486869423762</v>
      </c>
      <c r="J15" s="55">
        <f>J14/-'Proj IS'!J6*365</f>
        <v>121.40486869423762</v>
      </c>
      <c r="K15" s="55">
        <f>K14/-'Proj IS'!K6*365</f>
        <v>121.40486869423762</v>
      </c>
      <c r="L15" s="55">
        <f>L14/-'Proj IS'!L6*365</f>
        <v>121.40486869423762</v>
      </c>
    </row>
    <row r="16" spans="1:12" hidden="1" x14ac:dyDescent="0.3">
      <c r="A16" s="44" t="s">
        <v>212</v>
      </c>
      <c r="B16" s="44"/>
      <c r="C16" s="44"/>
      <c r="D16" s="44"/>
      <c r="E16" s="44"/>
      <c r="F16" s="44"/>
      <c r="G16" s="44"/>
    </row>
    <row r="17" spans="1:12" s="56" customFormat="1" hidden="1" x14ac:dyDescent="0.3">
      <c r="A17" s="54" t="s">
        <v>145</v>
      </c>
      <c r="B17" s="57">
        <f>B16/'Historical IS'!B4</f>
        <v>0</v>
      </c>
      <c r="C17" s="57">
        <f>C16/'Historical IS'!C4</f>
        <v>0</v>
      </c>
      <c r="D17" s="57">
        <f>D16/'Historical IS'!D4</f>
        <v>0</v>
      </c>
      <c r="E17" s="57">
        <f>E16/'Historical IS'!E4</f>
        <v>0</v>
      </c>
      <c r="F17" s="57">
        <f>F16/'Historical IS'!F4</f>
        <v>0</v>
      </c>
      <c r="G17" s="57">
        <f>G16/'Historical IS'!G4</f>
        <v>0</v>
      </c>
    </row>
    <row r="18" spans="1:12" x14ac:dyDescent="0.3">
      <c r="A18" s="44" t="s">
        <v>213</v>
      </c>
      <c r="B18" s="44">
        <f t="shared" ref="B18:L18" si="1">B14+B16</f>
        <v>501.2</v>
      </c>
      <c r="C18" s="44">
        <f t="shared" si="1"/>
        <v>523.93468908122315</v>
      </c>
      <c r="D18" s="44">
        <f t="shared" si="1"/>
        <v>557.99044387150252</v>
      </c>
      <c r="E18" s="44">
        <f t="shared" si="1"/>
        <v>594.25982272315014</v>
      </c>
      <c r="F18" s="44">
        <f t="shared" si="1"/>
        <v>632.88671120015488</v>
      </c>
      <c r="G18" s="44">
        <f t="shared" si="1"/>
        <v>674.0243474281649</v>
      </c>
      <c r="H18" s="44">
        <f t="shared" si="1"/>
        <v>700.98532132529147</v>
      </c>
      <c r="I18" s="44">
        <f t="shared" si="1"/>
        <v>729.02473417830322</v>
      </c>
      <c r="J18" s="44">
        <f t="shared" si="1"/>
        <v>758.18572354543539</v>
      </c>
      <c r="K18" s="44">
        <f t="shared" si="1"/>
        <v>788.51315248725291</v>
      </c>
      <c r="L18" s="44">
        <f t="shared" si="1"/>
        <v>820.0536785867431</v>
      </c>
    </row>
    <row r="19" spans="1:12" x14ac:dyDescent="0.3">
      <c r="A19" s="44"/>
      <c r="B19" s="44"/>
      <c r="C19" s="44"/>
      <c r="D19" s="44"/>
      <c r="E19" s="44"/>
      <c r="F19" s="44"/>
      <c r="G19" s="44"/>
    </row>
    <row r="20" spans="1:12" x14ac:dyDescent="0.3">
      <c r="A20" s="44" t="s">
        <v>214</v>
      </c>
      <c r="B20" s="44">
        <f t="shared" ref="B20:L20" si="2">B11-B18</f>
        <v>-80</v>
      </c>
      <c r="C20" s="44">
        <f t="shared" si="2"/>
        <v>-69.702081197759867</v>
      </c>
      <c r="D20" s="44">
        <f t="shared" si="2"/>
        <v>-74.232716475614211</v>
      </c>
      <c r="E20" s="44">
        <f t="shared" si="2"/>
        <v>-79.057843046529115</v>
      </c>
      <c r="F20" s="44">
        <f t="shared" si="2"/>
        <v>-84.196602844553581</v>
      </c>
      <c r="G20" s="44">
        <f t="shared" si="2"/>
        <v>-89.669382029449594</v>
      </c>
      <c r="H20" s="44">
        <f t="shared" si="2"/>
        <v>-93.256157310627486</v>
      </c>
      <c r="I20" s="44">
        <f t="shared" si="2"/>
        <v>-96.986403603052622</v>
      </c>
      <c r="J20" s="44">
        <f t="shared" si="2"/>
        <v>-100.86585974717468</v>
      </c>
      <c r="K20" s="44">
        <f t="shared" si="2"/>
        <v>-104.90049413706174</v>
      </c>
      <c r="L20" s="44">
        <f t="shared" si="2"/>
        <v>-109.09651390254419</v>
      </c>
    </row>
    <row r="21" spans="1:12" x14ac:dyDescent="0.3">
      <c r="C21">
        <f t="shared" ref="C21:L21" si="3">C20-B20</f>
        <v>10.297918802240133</v>
      </c>
      <c r="D21">
        <f t="shared" si="3"/>
        <v>-4.5306352778543442</v>
      </c>
      <c r="E21">
        <f t="shared" si="3"/>
        <v>-4.8251265709149038</v>
      </c>
      <c r="F21">
        <f t="shared" si="3"/>
        <v>-5.1387597980244664</v>
      </c>
      <c r="G21">
        <f t="shared" si="3"/>
        <v>-5.4727791848960123</v>
      </c>
      <c r="H21">
        <f t="shared" si="3"/>
        <v>-3.5867752811778928</v>
      </c>
      <c r="I21">
        <f t="shared" si="3"/>
        <v>-3.7302462924251358</v>
      </c>
      <c r="J21">
        <f t="shared" si="3"/>
        <v>-3.8794561441220594</v>
      </c>
      <c r="K21">
        <f t="shared" si="3"/>
        <v>-4.03463438988706</v>
      </c>
      <c r="L21">
        <f t="shared" si="3"/>
        <v>-4.1960197654824469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D20DA-A9B1-431E-9D7F-9911578C89CD}">
  <sheetPr>
    <tabColor rgb="FF92D050"/>
  </sheetPr>
  <dimension ref="A1:N39"/>
  <sheetViews>
    <sheetView workbookViewId="0">
      <selection activeCell="B9" sqref="B9:H9"/>
    </sheetView>
  </sheetViews>
  <sheetFormatPr defaultRowHeight="14.4" x14ac:dyDescent="0.3"/>
  <cols>
    <col min="1" max="1" width="36.44140625" customWidth="1"/>
    <col min="2" max="2" width="9.44140625" customWidth="1"/>
    <col min="3" max="3" width="11.44140625" customWidth="1"/>
    <col min="4" max="10" width="9.5546875" bestFit="1" customWidth="1"/>
    <col min="11" max="11" width="12.5546875" bestFit="1" customWidth="1"/>
    <col min="12" max="12" width="9.5546875" bestFit="1" customWidth="1"/>
    <col min="14" max="14" width="10.5546875" bestFit="1" customWidth="1"/>
  </cols>
  <sheetData>
    <row r="1" spans="1:14" x14ac:dyDescent="0.3">
      <c r="A1" s="140" t="s">
        <v>226</v>
      </c>
      <c r="B1" s="68">
        <v>0</v>
      </c>
      <c r="C1" s="69">
        <v>1</v>
      </c>
      <c r="D1" s="69">
        <v>2</v>
      </c>
      <c r="E1" s="69">
        <v>3</v>
      </c>
      <c r="F1" s="69">
        <v>4</v>
      </c>
      <c r="G1" s="69">
        <v>5</v>
      </c>
      <c r="H1" s="69">
        <v>6</v>
      </c>
      <c r="I1" s="69">
        <v>7</v>
      </c>
      <c r="J1" s="69">
        <v>8</v>
      </c>
      <c r="K1" s="69">
        <v>9</v>
      </c>
      <c r="L1" s="69">
        <v>10</v>
      </c>
    </row>
    <row r="2" spans="1:14" x14ac:dyDescent="0.3">
      <c r="A2" s="141"/>
      <c r="B2" s="70" t="s">
        <v>251</v>
      </c>
      <c r="C2" s="69" t="str">
        <f>'[1]PROJ IS'!C5</f>
        <v>FY 2021</v>
      </c>
      <c r="D2" s="69" t="str">
        <f>'[1]PROJ IS'!D5</f>
        <v>FY 2022</v>
      </c>
      <c r="E2" s="69" t="str">
        <f>'[1]PROJ IS'!E5</f>
        <v>FY 2023</v>
      </c>
      <c r="F2" s="69" t="str">
        <f>'[1]PROJ IS'!F5</f>
        <v>FY 2024</v>
      </c>
      <c r="G2" s="69" t="str">
        <f>'[1]PROJ IS'!G5</f>
        <v>FY 2025</v>
      </c>
      <c r="H2" s="69" t="str">
        <f>'[1]PROJ IS'!H5</f>
        <v>FY 2026</v>
      </c>
      <c r="I2" s="69" t="str">
        <f>'[1]PROJ IS'!I5</f>
        <v>FY 2027</v>
      </c>
      <c r="J2" s="69" t="str">
        <f>'[1]PROJ IS'!J5</f>
        <v>FY 2028</v>
      </c>
      <c r="K2" s="69" t="str">
        <f>'[1]PROJ IS'!K5</f>
        <v>FY 2029</v>
      </c>
      <c r="L2" s="69" t="str">
        <f>'[1]PROJ IS'!L5</f>
        <v>FY 2030</v>
      </c>
    </row>
    <row r="3" spans="1:14" x14ac:dyDescent="0.3">
      <c r="A3" s="45" t="s">
        <v>227</v>
      </c>
      <c r="B3" s="48">
        <f>'Proj IS'!B4</f>
        <v>1816.1</v>
      </c>
      <c r="C3" s="48">
        <f>'Proj IS'!C4</f>
        <v>2038.12</v>
      </c>
      <c r="D3" s="48">
        <f>'Proj IS'!D4</f>
        <v>2170.5977999999996</v>
      </c>
      <c r="E3" s="48">
        <f>'Proj IS'!E4</f>
        <v>2311.6866569999993</v>
      </c>
      <c r="F3" s="48">
        <f>'Proj IS'!F4</f>
        <v>2461.9462897049989</v>
      </c>
      <c r="G3" s="48">
        <f>'Proj IS'!G4</f>
        <v>2621.9727985358236</v>
      </c>
      <c r="H3" s="48">
        <f>'Proj IS'!H4</f>
        <v>2726.8517104772568</v>
      </c>
      <c r="I3" s="48">
        <f>'Proj IS'!I4</f>
        <v>2835.9257788963473</v>
      </c>
      <c r="J3" s="48">
        <f>'Proj IS'!J4</f>
        <v>2949.3628100522014</v>
      </c>
      <c r="K3" s="48">
        <f>'Proj IS'!K4</f>
        <v>3067.3373224542897</v>
      </c>
      <c r="L3" s="48">
        <f>'Proj IS'!L4</f>
        <v>3190.0308153524616</v>
      </c>
      <c r="M3" s="16"/>
      <c r="N3" s="16"/>
    </row>
    <row r="4" spans="1:14" x14ac:dyDescent="0.3">
      <c r="A4" s="45" t="s">
        <v>228</v>
      </c>
      <c r="B4" s="48">
        <f>'Proj IS'!B16</f>
        <v>171.99999999999991</v>
      </c>
      <c r="C4" s="48">
        <f>'Proj IS'!C16</f>
        <v>191.61225809916141</v>
      </c>
      <c r="D4" s="48">
        <f>'Proj IS'!D16</f>
        <v>204.06705487560697</v>
      </c>
      <c r="E4" s="48">
        <f>'Proj IS'!E16</f>
        <v>217.33141344252152</v>
      </c>
      <c r="F4" s="48">
        <f>'Proj IS'!F16</f>
        <v>231.45795531628522</v>
      </c>
      <c r="G4" s="48">
        <f>'Proj IS'!G16</f>
        <v>246.50272241184376</v>
      </c>
      <c r="H4" s="48">
        <f>'Proj IS'!H16</f>
        <v>256.36283130831771</v>
      </c>
      <c r="I4" s="48">
        <f>'Proj IS'!I16</f>
        <v>266.61734456065045</v>
      </c>
      <c r="J4" s="48">
        <f>'Proj IS'!J16</f>
        <v>277.28203834307641</v>
      </c>
      <c r="K4" s="48">
        <f>'Proj IS'!K16</f>
        <v>288.37331987679943</v>
      </c>
      <c r="L4" s="48">
        <f>'Proj IS'!L16</f>
        <v>299.90825267187131</v>
      </c>
    </row>
    <row r="5" spans="1:14" x14ac:dyDescent="0.3">
      <c r="A5" s="45" t="s">
        <v>229</v>
      </c>
      <c r="B5">
        <f>('Proj IS'!B22)*-1</f>
        <v>23</v>
      </c>
      <c r="C5" s="58">
        <f>('Proj IS'!C22)*-1</f>
        <v>39.66485043897098</v>
      </c>
      <c r="D5" s="58">
        <f>('Proj IS'!D22)*-1</f>
        <v>42.243065717504109</v>
      </c>
      <c r="E5" s="58">
        <f>('Proj IS'!E22)*-1</f>
        <v>44.988864989141902</v>
      </c>
      <c r="F5" s="58">
        <f>('Proj IS'!F22)*-1</f>
        <v>47.913141213436077</v>
      </c>
      <c r="G5" s="58">
        <f>('Proj IS'!G22)*-1</f>
        <v>51.027495392309426</v>
      </c>
      <c r="H5" s="58">
        <f>('Proj IS'!H22)*-1</f>
        <v>53.068595208001845</v>
      </c>
      <c r="I5" s="58">
        <f>('Proj IS'!I22)*-1</f>
        <v>55.191339016321926</v>
      </c>
      <c r="J5" s="58">
        <f>('Proj IS'!J22)*-1</f>
        <v>57.398992576974791</v>
      </c>
      <c r="K5" s="58">
        <f>('Proj IS'!K22)*-1</f>
        <v>59.694952280053776</v>
      </c>
      <c r="L5" s="58">
        <f>('Proj IS'!L22)*-1</f>
        <v>62.082750371255898</v>
      </c>
      <c r="N5">
        <v>-1</v>
      </c>
    </row>
    <row r="6" spans="1:14" x14ac:dyDescent="0.3">
      <c r="A6" s="45" t="s">
        <v>285</v>
      </c>
      <c r="B6" s="48">
        <f>'Proj IS'!B45+43.9</f>
        <v>320.89999999999998</v>
      </c>
      <c r="C6" s="48">
        <f>'Proj IS'!C45</f>
        <v>323.70271160577869</v>
      </c>
      <c r="D6" s="48">
        <f>'Proj IS'!D45</f>
        <v>344.74338786015426</v>
      </c>
      <c r="E6" s="48">
        <f>'Proj IS'!E45</f>
        <v>367.15170807106421</v>
      </c>
      <c r="F6" s="48">
        <f>'Proj IS'!F45</f>
        <v>391.01656909568334</v>
      </c>
      <c r="G6" s="48">
        <f>'Proj IS'!G45</f>
        <v>416.43264608690271</v>
      </c>
      <c r="H6" s="48">
        <f>'Proj IS'!H45</f>
        <v>433.0899519303789</v>
      </c>
      <c r="I6" s="48">
        <f>'Proj IS'!I45</f>
        <v>450.4135500075941</v>
      </c>
      <c r="J6" s="48">
        <f>'Proj IS'!J45</f>
        <v>468.43009200789788</v>
      </c>
      <c r="K6" s="48">
        <f>'Proj IS'!K45</f>
        <v>487.16729568821381</v>
      </c>
      <c r="L6" s="48">
        <f>'Proj IS'!L45</f>
        <v>506.65398751574241</v>
      </c>
    </row>
    <row r="7" spans="1:14" x14ac:dyDescent="0.3">
      <c r="A7" s="45" t="s">
        <v>230</v>
      </c>
      <c r="B7" s="48">
        <v>199</v>
      </c>
      <c r="C7" s="48">
        <f>'Proj IS'!C55</f>
        <v>216.23466318356324</v>
      </c>
      <c r="D7" s="48">
        <f>'Proj IS'!D55</f>
        <v>230.28991629049483</v>
      </c>
      <c r="E7" s="48">
        <f>'Proj IS'!E55</f>
        <v>245.25876084937696</v>
      </c>
      <c r="F7" s="48">
        <f>'Proj IS'!F55</f>
        <v>261.20058030458642</v>
      </c>
      <c r="G7" s="48">
        <f>'Proj IS'!G55</f>
        <v>278.17861802438455</v>
      </c>
      <c r="H7" s="48">
        <f>'Proj IS'!H55</f>
        <v>289.30576274535991</v>
      </c>
      <c r="I7" s="48">
        <f>'Proj IS'!I55</f>
        <v>300.87799325517437</v>
      </c>
      <c r="J7" s="48">
        <f>'Proj IS'!J55</f>
        <v>312.91311298538136</v>
      </c>
      <c r="K7" s="48">
        <f>'Proj IS'!K55</f>
        <v>325.42963750479663</v>
      </c>
      <c r="L7" s="48">
        <f>'Proj IS'!L55</f>
        <v>338.44682300498852</v>
      </c>
    </row>
    <row r="8" spans="1:14" x14ac:dyDescent="0.3">
      <c r="A8" s="45" t="s">
        <v>231</v>
      </c>
      <c r="B8" s="48">
        <v>47.7</v>
      </c>
      <c r="C8" s="48">
        <v>10.297918802240133</v>
      </c>
      <c r="D8" s="48">
        <v>-4.5306352778543442</v>
      </c>
      <c r="E8" s="48">
        <v>-4.8251265709149038</v>
      </c>
      <c r="F8" s="48">
        <v>-5.1387597980244664</v>
      </c>
      <c r="G8" s="48">
        <v>-5.4727791848960123</v>
      </c>
      <c r="H8" s="48">
        <v>-3.5867752811778928</v>
      </c>
      <c r="I8" s="48">
        <v>-3.7302462924251358</v>
      </c>
      <c r="J8" s="48">
        <v>-3.8794561441220594</v>
      </c>
      <c r="K8" s="48">
        <v>-4.03463438988706</v>
      </c>
      <c r="L8" s="48">
        <v>-4.1960197654824469</v>
      </c>
    </row>
    <row r="9" spans="1:14" x14ac:dyDescent="0.3">
      <c r="A9" s="45" t="s">
        <v>226</v>
      </c>
      <c r="B9" s="48">
        <f>B4-B5+B6+-B7-B8</f>
        <v>223.19999999999987</v>
      </c>
      <c r="C9" s="48">
        <f t="shared" ref="C9:L9" si="0">C4-C5+C6-C7-C8</f>
        <v>249.11753728016572</v>
      </c>
      <c r="D9" s="48">
        <f t="shared" si="0"/>
        <v>280.80809600561662</v>
      </c>
      <c r="E9" s="48">
        <f t="shared" si="0"/>
        <v>299.06062224598179</v>
      </c>
      <c r="F9" s="48">
        <f t="shared" si="0"/>
        <v>318.49956269197048</v>
      </c>
      <c r="G9" s="48">
        <f t="shared" si="0"/>
        <v>339.20203426694849</v>
      </c>
      <c r="H9" s="48">
        <f t="shared" si="0"/>
        <v>350.66520056651274</v>
      </c>
      <c r="I9" s="48">
        <f t="shared" si="0"/>
        <v>364.69180858917332</v>
      </c>
      <c r="J9" s="48">
        <f t="shared" si="0"/>
        <v>379.27948093274023</v>
      </c>
      <c r="K9" s="48">
        <f t="shared" si="0"/>
        <v>394.45066017004996</v>
      </c>
      <c r="L9" s="48">
        <f t="shared" si="0"/>
        <v>410.22868657685177</v>
      </c>
      <c r="N9" s="71"/>
    </row>
    <row r="10" spans="1:14" hidden="1" x14ac:dyDescent="0.3">
      <c r="C10" s="58"/>
      <c r="D10" s="58"/>
      <c r="E10" s="58"/>
      <c r="F10" s="58"/>
      <c r="G10" s="58"/>
      <c r="H10" s="58"/>
      <c r="I10" s="58"/>
      <c r="J10" s="58"/>
      <c r="K10" s="58"/>
      <c r="L10" s="58"/>
    </row>
    <row r="11" spans="1:14" hidden="1" x14ac:dyDescent="0.3">
      <c r="C11" s="58"/>
      <c r="D11" s="58"/>
      <c r="E11" s="58"/>
      <c r="F11" s="58"/>
      <c r="G11" s="58"/>
      <c r="H11" s="58"/>
      <c r="I11" s="58"/>
      <c r="J11" s="58"/>
      <c r="K11" s="58"/>
      <c r="L11" s="58"/>
    </row>
    <row r="12" spans="1:14" x14ac:dyDescent="0.3">
      <c r="A12" s="45" t="s">
        <v>232</v>
      </c>
      <c r="B12" s="45"/>
      <c r="C12" s="48"/>
      <c r="D12" s="48"/>
      <c r="E12" s="48"/>
      <c r="F12" s="48"/>
      <c r="G12" s="48"/>
      <c r="H12" s="48"/>
      <c r="I12" s="48"/>
      <c r="J12" s="48"/>
      <c r="K12" s="48"/>
      <c r="L12" s="48">
        <f>L9*(1+'Assumption Sheet'!D35)/('Assumption Sheet'!D34-'Assumption Sheet'!D35)</f>
        <v>13356.548229933742</v>
      </c>
    </row>
    <row r="13" spans="1:14" x14ac:dyDescent="0.3">
      <c r="A13" s="45" t="s">
        <v>233</v>
      </c>
      <c r="B13" s="45"/>
      <c r="C13" s="72">
        <f>1/(1+'Assumption Sheet'!$D$34)^DCF!C1</f>
        <v>0.9483886067445032</v>
      </c>
      <c r="D13" s="72">
        <f>1/(1+'Assumption Sheet'!$D$34)^DCF!D1</f>
        <v>0.89944094940277985</v>
      </c>
      <c r="E13" s="72">
        <f>1/(1+'Assumption Sheet'!$D$34)^DCF!E1</f>
        <v>0.85301954885305564</v>
      </c>
      <c r="F13" s="72">
        <f>1/(1+'Assumption Sheet'!$D$34)^DCF!F1</f>
        <v>0.80899402146257404</v>
      </c>
      <c r="G13" s="72">
        <f>1/(1+'Assumption Sheet'!$D$34)^DCF!G1</f>
        <v>0.76724071287952333</v>
      </c>
      <c r="H13" s="72">
        <f>1/(1+'Assumption Sheet'!$D$34)^DCF!H1</f>
        <v>0.72764235072547045</v>
      </c>
      <c r="I13" s="72">
        <f>1/(1+'Assumption Sheet'!$D$34)^DCF!I1</f>
        <v>0.69008771521282408</v>
      </c>
      <c r="J13" s="72">
        <f>1/(1+'Assumption Sheet'!$D$34)^DCF!J1</f>
        <v>0.65447132676218767</v>
      </c>
      <c r="K13" s="72">
        <f>1/(1+'Assumption Sheet'!$D$34)^DCF!K1</f>
        <v>0.62069314974221768</v>
      </c>
      <c r="L13" s="72">
        <f>1/(1+'Assumption Sheet'!$D$34)^DCF!L1</f>
        <v>0.58865831149987902</v>
      </c>
    </row>
    <row r="14" spans="1:14" x14ac:dyDescent="0.3">
      <c r="A14" s="45" t="s">
        <v>234</v>
      </c>
      <c r="B14" s="45"/>
      <c r="C14" s="48">
        <f>C13*C9</f>
        <v>236.26023409675821</v>
      </c>
      <c r="D14" s="48">
        <f t="shared" ref="D14:K14" si="1">D13*D9</f>
        <v>252.57030047127876</v>
      </c>
      <c r="E14" s="48">
        <f t="shared" si="1"/>
        <v>255.10455706798149</v>
      </c>
      <c r="F14" s="48">
        <f t="shared" si="1"/>
        <v>257.66424205624844</v>
      </c>
      <c r="G14" s="48">
        <f t="shared" si="1"/>
        <v>260.24961058115804</v>
      </c>
      <c r="H14" s="48">
        <f t="shared" si="1"/>
        <v>255.15885085783592</v>
      </c>
      <c r="I14" s="48">
        <f t="shared" si="1"/>
        <v>251.66933694613519</v>
      </c>
      <c r="J14" s="48">
        <f t="shared" si="1"/>
        <v>248.22754509972435</v>
      </c>
      <c r="K14" s="48">
        <f t="shared" si="1"/>
        <v>244.83282267884545</v>
      </c>
      <c r="L14" s="48">
        <f>L13*(L12+L9)</f>
        <v>8103.9276544686363</v>
      </c>
    </row>
    <row r="15" spans="1:14" x14ac:dyDescent="0.3">
      <c r="A15" s="45" t="s">
        <v>235</v>
      </c>
      <c r="B15" s="45"/>
      <c r="C15" s="48">
        <f>SUM(C14:L14)</f>
        <v>10365.665154324603</v>
      </c>
      <c r="D15" s="73"/>
      <c r="E15" s="48"/>
      <c r="F15" s="48"/>
      <c r="G15" s="48"/>
      <c r="H15" s="48"/>
      <c r="I15" s="48"/>
      <c r="J15" s="48"/>
      <c r="K15" s="48"/>
      <c r="L15" s="48"/>
    </row>
    <row r="16" spans="1:14" hidden="1" x14ac:dyDescent="0.3">
      <c r="A16" s="45"/>
      <c r="B16" s="45"/>
      <c r="C16" s="48"/>
    </row>
    <row r="17" spans="1:11" x14ac:dyDescent="0.3">
      <c r="A17" s="45" t="s">
        <v>236</v>
      </c>
      <c r="B17" s="45"/>
      <c r="C17" s="48">
        <f>'Proj BS'!B21+'Proj BS'!B28</f>
        <v>1683.7</v>
      </c>
      <c r="K17" s="58"/>
    </row>
    <row r="18" spans="1:11" x14ac:dyDescent="0.3">
      <c r="A18" s="45" t="s">
        <v>237</v>
      </c>
      <c r="B18" s="45"/>
      <c r="C18" s="48">
        <f>'Proj BS'!B4</f>
        <v>355.1</v>
      </c>
    </row>
    <row r="19" spans="1:11" x14ac:dyDescent="0.3">
      <c r="A19" s="45" t="s">
        <v>238</v>
      </c>
      <c r="B19" s="45"/>
      <c r="C19" s="48">
        <v>0</v>
      </c>
    </row>
    <row r="20" spans="1:11" x14ac:dyDescent="0.3">
      <c r="A20" s="45" t="s">
        <v>239</v>
      </c>
      <c r="B20" s="45"/>
      <c r="C20" s="48">
        <v>0</v>
      </c>
    </row>
    <row r="21" spans="1:11" x14ac:dyDescent="0.3">
      <c r="A21" s="45" t="s">
        <v>175</v>
      </c>
      <c r="B21" s="45"/>
      <c r="C21" s="48">
        <f>C15-C17+C18-C19+C20</f>
        <v>9037.0651543246022</v>
      </c>
    </row>
    <row r="22" spans="1:11" x14ac:dyDescent="0.3">
      <c r="E22" t="s">
        <v>283</v>
      </c>
      <c r="F22">
        <v>425.8</v>
      </c>
    </row>
    <row r="23" spans="1:11" x14ac:dyDescent="0.3">
      <c r="A23" t="s">
        <v>240</v>
      </c>
      <c r="C23">
        <v>337.52</v>
      </c>
      <c r="E23" t="s">
        <v>284</v>
      </c>
      <c r="F23">
        <v>-176.2</v>
      </c>
    </row>
    <row r="24" spans="1:11" x14ac:dyDescent="0.3">
      <c r="A24" t="s">
        <v>241</v>
      </c>
      <c r="C24" s="113">
        <f>C21/C23</f>
        <v>26.774902685247106</v>
      </c>
      <c r="F24">
        <f>F22+F23</f>
        <v>249.60000000000002</v>
      </c>
    </row>
    <row r="25" spans="1:11" x14ac:dyDescent="0.3">
      <c r="A25" t="s">
        <v>263</v>
      </c>
      <c r="C25" s="111">
        <f>C24/0.96308872</f>
        <v>27.80107598523956</v>
      </c>
    </row>
    <row r="26" spans="1:11" x14ac:dyDescent="0.3">
      <c r="A26" t="s">
        <v>264</v>
      </c>
      <c r="C26" s="112">
        <v>25</v>
      </c>
      <c r="E26" s="58"/>
    </row>
    <row r="27" spans="1:11" x14ac:dyDescent="0.3">
      <c r="A27" t="s">
        <v>265</v>
      </c>
      <c r="C27" s="110">
        <f>(C25-C26)/C26</f>
        <v>0.11204303940958241</v>
      </c>
    </row>
    <row r="28" spans="1:11" x14ac:dyDescent="0.3">
      <c r="A28" t="s">
        <v>245</v>
      </c>
      <c r="C28" s="75">
        <f>C24*1.15</f>
        <v>30.79113808803417</v>
      </c>
    </row>
    <row r="29" spans="1:11" x14ac:dyDescent="0.3">
      <c r="A29" t="s">
        <v>246</v>
      </c>
      <c r="C29" s="75">
        <f>C24*0.85</f>
        <v>22.758667282460038</v>
      </c>
    </row>
    <row r="31" spans="1:11" x14ac:dyDescent="0.3">
      <c r="A31" s="1" t="s">
        <v>242</v>
      </c>
      <c r="B31" s="1"/>
    </row>
    <row r="34" spans="1:8" x14ac:dyDescent="0.3">
      <c r="A34" s="58"/>
      <c r="B34" s="84"/>
      <c r="C34" s="84"/>
      <c r="D34" s="16"/>
      <c r="E34" s="84"/>
      <c r="F34" s="84"/>
      <c r="H34" s="16"/>
    </row>
    <row r="35" spans="1:8" x14ac:dyDescent="0.3">
      <c r="A35" s="84"/>
      <c r="H35" s="16"/>
    </row>
    <row r="36" spans="1:8" x14ac:dyDescent="0.3">
      <c r="A36" s="84"/>
    </row>
    <row r="37" spans="1:8" x14ac:dyDescent="0.3">
      <c r="A37" s="16"/>
    </row>
    <row r="38" spans="1:8" x14ac:dyDescent="0.3">
      <c r="A38" s="84"/>
    </row>
    <row r="39" spans="1:8" x14ac:dyDescent="0.3">
      <c r="A39" s="84"/>
    </row>
  </sheetData>
  <mergeCells count="1">
    <mergeCell ref="A1:A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Historical IS</vt:lpstr>
      <vt:lpstr>Historical BS</vt:lpstr>
      <vt:lpstr>Historical CF</vt:lpstr>
      <vt:lpstr>Historical WC Movment</vt:lpstr>
      <vt:lpstr>Assumption Sheet</vt:lpstr>
      <vt:lpstr>Proj IS</vt:lpstr>
      <vt:lpstr>Proj BS</vt:lpstr>
      <vt:lpstr>Proj NWC</vt:lpstr>
      <vt:lpstr>DCF</vt:lpstr>
      <vt:lpstr>Sensitivity</vt:lpstr>
      <vt:lpstr>Correlation</vt:lpstr>
      <vt:lpstr>Ratios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RAJESH</dc:creator>
  <cp:lastModifiedBy>Nikhil Dhoot</cp:lastModifiedBy>
  <dcterms:created xsi:type="dcterms:W3CDTF">2015-06-05T18:17:20Z</dcterms:created>
  <dcterms:modified xsi:type="dcterms:W3CDTF">2024-09-03T11:50:57Z</dcterms:modified>
</cp:coreProperties>
</file>